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AEA1B7-C7E7-4DAF-80D4-F97A10E39EDC}" xr6:coauthVersionLast="47" xr6:coauthVersionMax="47" xr10:uidLastSave="{00000000-0000-0000-0000-000000000000}"/>
  <bookViews>
    <workbookView xWindow="-28920" yWindow="-120" windowWidth="29040" windowHeight="15720" tabRatio="500" activeTab="4" xr2:uid="{00000000-000D-0000-FFFF-FFFF00000000}"/>
  </bookViews>
  <sheets>
    <sheet name="date" sheetId="1" r:id="rId1"/>
    <sheet name="星取表" sheetId="2" r:id="rId2"/>
    <sheet name="総合順位" sheetId="3" r:id="rId3"/>
    <sheet name="パートごとの順位_縦" sheetId="4" r:id="rId4"/>
    <sheet name="パートごとの順位" sheetId="5" r:id="rId5"/>
  </sheets>
  <definedNames>
    <definedName name="_xlnm.Print_Area" localSheetId="3">パートごとの順位_縦!$B$1:$O$34</definedName>
    <definedName name="_xlnm.Print_Area" localSheetId="2">総合順位!$B$1:$K$58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" i="3" l="1"/>
  <c r="K84" i="2"/>
  <c r="I84" i="2"/>
  <c r="H84" i="2"/>
  <c r="F84" i="2"/>
  <c r="E84" i="2"/>
  <c r="C84" i="2"/>
  <c r="B84" i="2"/>
  <c r="H83" i="2"/>
  <c r="F83" i="2"/>
  <c r="E83" i="2"/>
  <c r="C83" i="2"/>
  <c r="B83" i="2"/>
  <c r="E82" i="2"/>
  <c r="C82" i="2"/>
  <c r="B82" i="2"/>
  <c r="B81" i="2"/>
  <c r="L80" i="2"/>
  <c r="I80" i="2"/>
  <c r="C80" i="2"/>
  <c r="K78" i="2"/>
  <c r="I78" i="2"/>
  <c r="H78" i="2"/>
  <c r="F78" i="2"/>
  <c r="E78" i="2"/>
  <c r="C78" i="2"/>
  <c r="B78" i="2"/>
  <c r="H77" i="2"/>
  <c r="F77" i="2"/>
  <c r="E77" i="2"/>
  <c r="C77" i="2"/>
  <c r="B77" i="2"/>
  <c r="E76" i="2"/>
  <c r="C76" i="2"/>
  <c r="B76" i="2"/>
  <c r="B75" i="2"/>
  <c r="L74" i="2"/>
  <c r="I74" i="2"/>
  <c r="F74" i="2"/>
  <c r="K72" i="2"/>
  <c r="I72" i="2"/>
  <c r="H72" i="2"/>
  <c r="F72" i="2"/>
  <c r="E72" i="2"/>
  <c r="C72" i="2"/>
  <c r="B72" i="2"/>
  <c r="H71" i="2"/>
  <c r="F71" i="2"/>
  <c r="E71" i="2"/>
  <c r="C71" i="2"/>
  <c r="B71" i="2"/>
  <c r="E70" i="2"/>
  <c r="C70" i="2"/>
  <c r="B70" i="2"/>
  <c r="B69" i="2"/>
  <c r="C68" i="2" s="1"/>
  <c r="L68" i="2"/>
  <c r="I68" i="2"/>
  <c r="F68" i="2"/>
  <c r="K66" i="2"/>
  <c r="I66" i="2"/>
  <c r="H66" i="2"/>
  <c r="F66" i="2"/>
  <c r="E66" i="2"/>
  <c r="C66" i="2"/>
  <c r="B66" i="2"/>
  <c r="H65" i="2"/>
  <c r="F65" i="2"/>
  <c r="E65" i="2"/>
  <c r="C65" i="2"/>
  <c r="B65" i="2"/>
  <c r="E64" i="2"/>
  <c r="C64" i="2"/>
  <c r="B64" i="2"/>
  <c r="B63" i="2"/>
  <c r="L62" i="2"/>
  <c r="I62" i="2"/>
  <c r="F62" i="2"/>
  <c r="C62" i="2"/>
  <c r="K60" i="2"/>
  <c r="I60" i="2"/>
  <c r="H60" i="2"/>
  <c r="F60" i="2"/>
  <c r="E60" i="2"/>
  <c r="C60" i="2"/>
  <c r="B60" i="2"/>
  <c r="H59" i="2"/>
  <c r="F59" i="2"/>
  <c r="E59" i="2"/>
  <c r="C59" i="2"/>
  <c r="B59" i="2"/>
  <c r="E58" i="2"/>
  <c r="C58" i="2"/>
  <c r="B58" i="2"/>
  <c r="B57" i="2"/>
  <c r="L56" i="2"/>
  <c r="I56" i="2"/>
  <c r="F56" i="2"/>
  <c r="C56" i="2"/>
  <c r="K54" i="2"/>
  <c r="I54" i="2"/>
  <c r="H54" i="2"/>
  <c r="F54" i="2"/>
  <c r="E54" i="2"/>
  <c r="C54" i="2"/>
  <c r="B54" i="2"/>
  <c r="H53" i="2"/>
  <c r="F53" i="2"/>
  <c r="E53" i="2"/>
  <c r="C53" i="2"/>
  <c r="B53" i="2"/>
  <c r="E52" i="2"/>
  <c r="C52" i="2"/>
  <c r="B52" i="2"/>
  <c r="B51" i="2"/>
  <c r="L50" i="2"/>
  <c r="I50" i="2"/>
  <c r="F50" i="2"/>
  <c r="K48" i="2"/>
  <c r="I48" i="2"/>
  <c r="H48" i="2"/>
  <c r="F48" i="2"/>
  <c r="E48" i="2"/>
  <c r="C48" i="2"/>
  <c r="B48" i="2"/>
  <c r="H47" i="2"/>
  <c r="F47" i="2"/>
  <c r="E47" i="2"/>
  <c r="C47" i="2"/>
  <c r="B47" i="2"/>
  <c r="E46" i="2"/>
  <c r="C46" i="2"/>
  <c r="B46" i="2"/>
  <c r="B45" i="2"/>
  <c r="L44" i="2"/>
  <c r="I44" i="2"/>
  <c r="F44" i="2"/>
  <c r="K42" i="2"/>
  <c r="I42" i="2"/>
  <c r="H42" i="2"/>
  <c r="F42" i="2"/>
  <c r="E42" i="2"/>
  <c r="C42" i="2"/>
  <c r="B42" i="2"/>
  <c r="P42" i="2" s="1"/>
  <c r="E29" i="1" s="1"/>
  <c r="H41" i="2"/>
  <c r="F41" i="2"/>
  <c r="E41" i="2"/>
  <c r="C41" i="2"/>
  <c r="B41" i="2"/>
  <c r="E40" i="2"/>
  <c r="C40" i="2"/>
  <c r="B40" i="2"/>
  <c r="B39" i="2"/>
  <c r="L38" i="2"/>
  <c r="I38" i="2"/>
  <c r="F38" i="2"/>
  <c r="C38" i="2"/>
  <c r="K36" i="2"/>
  <c r="I36" i="2"/>
  <c r="H36" i="2"/>
  <c r="F36" i="2"/>
  <c r="E36" i="2"/>
  <c r="C36" i="2"/>
  <c r="B36" i="2"/>
  <c r="H35" i="2"/>
  <c r="F35" i="2"/>
  <c r="E35" i="2"/>
  <c r="C35" i="2"/>
  <c r="B35" i="2"/>
  <c r="E34" i="2"/>
  <c r="C34" i="2"/>
  <c r="B34" i="2"/>
  <c r="B33" i="2"/>
  <c r="I32" i="2"/>
  <c r="F32" i="2"/>
  <c r="C32" i="2"/>
  <c r="K30" i="2"/>
  <c r="I30" i="2"/>
  <c r="H30" i="2"/>
  <c r="F30" i="2"/>
  <c r="E30" i="2"/>
  <c r="C30" i="2"/>
  <c r="B30" i="2"/>
  <c r="H29" i="2"/>
  <c r="F29" i="2"/>
  <c r="E29" i="2"/>
  <c r="C29" i="2"/>
  <c r="B29" i="2"/>
  <c r="E28" i="2"/>
  <c r="C28" i="2"/>
  <c r="B28" i="2"/>
  <c r="B27" i="2"/>
  <c r="L26" i="2"/>
  <c r="I26" i="2"/>
  <c r="F26" i="2"/>
  <c r="C26" i="2"/>
  <c r="K24" i="2"/>
  <c r="I24" i="2"/>
  <c r="H24" i="2"/>
  <c r="F24" i="2"/>
  <c r="E24" i="2"/>
  <c r="C24" i="2"/>
  <c r="B24" i="2"/>
  <c r="H23" i="2"/>
  <c r="F23" i="2"/>
  <c r="E23" i="2"/>
  <c r="C23" i="2"/>
  <c r="B23" i="2"/>
  <c r="E22" i="2"/>
  <c r="C22" i="2"/>
  <c r="B22" i="2"/>
  <c r="B21" i="2"/>
  <c r="L20" i="2"/>
  <c r="I20" i="2"/>
  <c r="F20" i="2"/>
  <c r="C20" i="2"/>
  <c r="K18" i="2"/>
  <c r="I18" i="2"/>
  <c r="H18" i="2"/>
  <c r="F18" i="2"/>
  <c r="E18" i="2"/>
  <c r="C18" i="2"/>
  <c r="B18" i="2"/>
  <c r="H17" i="2"/>
  <c r="F17" i="2"/>
  <c r="E17" i="2"/>
  <c r="C17" i="2"/>
  <c r="B17" i="2"/>
  <c r="E16" i="2"/>
  <c r="C16" i="2"/>
  <c r="B16" i="2"/>
  <c r="B15" i="2"/>
  <c r="L14" i="2"/>
  <c r="I14" i="2"/>
  <c r="F14" i="2"/>
  <c r="C14" i="2"/>
  <c r="K12" i="2"/>
  <c r="I12" i="2"/>
  <c r="H12" i="2"/>
  <c r="F12" i="2"/>
  <c r="E12" i="2"/>
  <c r="C12" i="2"/>
  <c r="B12" i="2"/>
  <c r="L8" i="2" s="1"/>
  <c r="H11" i="2"/>
  <c r="F11" i="2"/>
  <c r="E11" i="2"/>
  <c r="C11" i="2"/>
  <c r="B11" i="2"/>
  <c r="E10" i="2"/>
  <c r="C10" i="2"/>
  <c r="B10" i="2"/>
  <c r="B9" i="2"/>
  <c r="C8" i="2" s="1"/>
  <c r="I8" i="2"/>
  <c r="F8" i="2"/>
  <c r="K6" i="2"/>
  <c r="I6" i="2"/>
  <c r="H6" i="2"/>
  <c r="F6" i="2"/>
  <c r="E6" i="2"/>
  <c r="C6" i="2"/>
  <c r="B6" i="2"/>
  <c r="H5" i="2"/>
  <c r="F5" i="2"/>
  <c r="E5" i="2"/>
  <c r="C5" i="2"/>
  <c r="B5" i="2"/>
  <c r="I2" i="2" s="1"/>
  <c r="E4" i="2"/>
  <c r="C4" i="2"/>
  <c r="B4" i="2"/>
  <c r="B3" i="2"/>
  <c r="C2" i="2" s="1"/>
  <c r="L2" i="2"/>
  <c r="F2" i="2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T36" i="2" l="1"/>
  <c r="I25" i="1" s="1"/>
  <c r="L32" i="2"/>
  <c r="S84" i="2"/>
  <c r="H57" i="1" s="1"/>
  <c r="Q84" i="2"/>
  <c r="F57" i="1" s="1"/>
  <c r="P84" i="2"/>
  <c r="E57" i="1" s="1"/>
  <c r="O84" i="2"/>
  <c r="T84" i="2"/>
  <c r="P83" i="2"/>
  <c r="E56" i="1" s="1"/>
  <c r="T83" i="2"/>
  <c r="I56" i="1" s="1"/>
  <c r="S83" i="2"/>
  <c r="Q83" i="2"/>
  <c r="F56" i="1" s="1"/>
  <c r="O83" i="2"/>
  <c r="O82" i="2"/>
  <c r="T82" i="2"/>
  <c r="I55" i="1" s="1"/>
  <c r="S82" i="2"/>
  <c r="F80" i="2"/>
  <c r="P82" i="2"/>
  <c r="E55" i="1" s="1"/>
  <c r="Q82" i="2"/>
  <c r="F55" i="1" s="1"/>
  <c r="T81" i="2"/>
  <c r="I54" i="1" s="1"/>
  <c r="O81" i="2"/>
  <c r="Q81" i="2"/>
  <c r="F54" i="1" s="1"/>
  <c r="S81" i="2"/>
  <c r="P81" i="2"/>
  <c r="E54" i="1" s="1"/>
  <c r="O78" i="2"/>
  <c r="Q78" i="2"/>
  <c r="F53" i="1" s="1"/>
  <c r="S78" i="2"/>
  <c r="H53" i="1" s="1"/>
  <c r="P78" i="2"/>
  <c r="E53" i="1" s="1"/>
  <c r="T78" i="2"/>
  <c r="T77" i="2"/>
  <c r="I52" i="1" s="1"/>
  <c r="P77" i="2"/>
  <c r="E52" i="1" s="1"/>
  <c r="Q77" i="2"/>
  <c r="F52" i="1" s="1"/>
  <c r="S77" i="2"/>
  <c r="O77" i="2"/>
  <c r="T76" i="2"/>
  <c r="I51" i="1" s="1"/>
  <c r="P76" i="2"/>
  <c r="E51" i="1" s="1"/>
  <c r="O76" i="2"/>
  <c r="Q76" i="2"/>
  <c r="F51" i="1" s="1"/>
  <c r="S76" i="2"/>
  <c r="S75" i="2"/>
  <c r="P75" i="2"/>
  <c r="E50" i="1" s="1"/>
  <c r="O75" i="2"/>
  <c r="D50" i="1" s="1"/>
  <c r="C74" i="2"/>
  <c r="Q75" i="2"/>
  <c r="F50" i="1" s="1"/>
  <c r="R75" i="2"/>
  <c r="T75" i="2"/>
  <c r="I50" i="1" s="1"/>
  <c r="O72" i="2"/>
  <c r="S72" i="2"/>
  <c r="T72" i="2"/>
  <c r="I49" i="1" s="1"/>
  <c r="Q72" i="2"/>
  <c r="F49" i="1" s="1"/>
  <c r="P72" i="2"/>
  <c r="E49" i="1" s="1"/>
  <c r="Q71" i="2"/>
  <c r="F48" i="1" s="1"/>
  <c r="T71" i="2"/>
  <c r="I48" i="1" s="1"/>
  <c r="P71" i="2"/>
  <c r="E48" i="1" s="1"/>
  <c r="S71" i="2"/>
  <c r="O71" i="2"/>
  <c r="Q70" i="2"/>
  <c r="F47" i="1" s="1"/>
  <c r="S70" i="2"/>
  <c r="O70" i="2"/>
  <c r="D47" i="1" s="1"/>
  <c r="P70" i="2"/>
  <c r="T70" i="2"/>
  <c r="I47" i="1" s="1"/>
  <c r="P69" i="2"/>
  <c r="E46" i="1" s="1"/>
  <c r="T69" i="2"/>
  <c r="I46" i="1" s="1"/>
  <c r="Q69" i="2"/>
  <c r="F46" i="1" s="1"/>
  <c r="S69" i="2"/>
  <c r="O69" i="2"/>
  <c r="O66" i="2"/>
  <c r="D45" i="1" s="1"/>
  <c r="P66" i="2"/>
  <c r="E45" i="1" s="1"/>
  <c r="Q66" i="2"/>
  <c r="F45" i="1" s="1"/>
  <c r="T66" i="2"/>
  <c r="I45" i="1" s="1"/>
  <c r="R66" i="2"/>
  <c r="G45" i="1" s="1"/>
  <c r="S66" i="2"/>
  <c r="Q65" i="2"/>
  <c r="F44" i="1" s="1"/>
  <c r="O65" i="2"/>
  <c r="S65" i="2"/>
  <c r="T65" i="2"/>
  <c r="I44" i="1" s="1"/>
  <c r="P65" i="2"/>
  <c r="E44" i="1" s="1"/>
  <c r="T64" i="2"/>
  <c r="I43" i="1" s="1"/>
  <c r="Q64" i="2"/>
  <c r="F43" i="1" s="1"/>
  <c r="S64" i="2"/>
  <c r="P64" i="2"/>
  <c r="E43" i="1" s="1"/>
  <c r="O64" i="2"/>
  <c r="O63" i="2"/>
  <c r="P63" i="2"/>
  <c r="E42" i="1" s="1"/>
  <c r="S63" i="2"/>
  <c r="H42" i="1" s="1"/>
  <c r="T63" i="2"/>
  <c r="Q63" i="2"/>
  <c r="F42" i="1" s="1"/>
  <c r="Q60" i="2"/>
  <c r="F41" i="1" s="1"/>
  <c r="P60" i="2"/>
  <c r="E41" i="1" s="1"/>
  <c r="T60" i="2"/>
  <c r="I41" i="1" s="1"/>
  <c r="O60" i="2"/>
  <c r="S60" i="2"/>
  <c r="S59" i="2"/>
  <c r="H40" i="1" s="1"/>
  <c r="T59" i="2"/>
  <c r="I40" i="1" s="1"/>
  <c r="P59" i="2"/>
  <c r="E40" i="1" s="1"/>
  <c r="Q59" i="2"/>
  <c r="F40" i="1" s="1"/>
  <c r="O59" i="2"/>
  <c r="U59" i="2"/>
  <c r="J40" i="1" s="1"/>
  <c r="O58" i="2"/>
  <c r="D39" i="1" s="1"/>
  <c r="Q58" i="2"/>
  <c r="F39" i="1" s="1"/>
  <c r="S58" i="2"/>
  <c r="H39" i="1" s="1"/>
  <c r="T58" i="2"/>
  <c r="P58" i="2"/>
  <c r="S57" i="2"/>
  <c r="H38" i="1" s="1"/>
  <c r="O57" i="2"/>
  <c r="D38" i="1" s="1"/>
  <c r="P57" i="2"/>
  <c r="E38" i="1" s="1"/>
  <c r="Q57" i="2"/>
  <c r="F38" i="1" s="1"/>
  <c r="R57" i="2"/>
  <c r="T57" i="2"/>
  <c r="P54" i="2"/>
  <c r="E37" i="1" s="1"/>
  <c r="Q54" i="2"/>
  <c r="F37" i="1" s="1"/>
  <c r="S54" i="2"/>
  <c r="H37" i="1" s="1"/>
  <c r="O54" i="2"/>
  <c r="T54" i="2"/>
  <c r="O53" i="2"/>
  <c r="D36" i="1" s="1"/>
  <c r="P53" i="2"/>
  <c r="E36" i="1" s="1"/>
  <c r="T53" i="2"/>
  <c r="I36" i="1" s="1"/>
  <c r="Q53" i="2"/>
  <c r="F36" i="1" s="1"/>
  <c r="S53" i="2"/>
  <c r="R53" i="2"/>
  <c r="G36" i="1" s="1"/>
  <c r="P52" i="2"/>
  <c r="E35" i="1" s="1"/>
  <c r="T52" i="2"/>
  <c r="I35" i="1" s="1"/>
  <c r="S52" i="2"/>
  <c r="Q52" i="2"/>
  <c r="F35" i="1" s="1"/>
  <c r="O52" i="2"/>
  <c r="T51" i="2"/>
  <c r="I34" i="1" s="1"/>
  <c r="P51" i="2"/>
  <c r="E34" i="1" s="1"/>
  <c r="O51" i="2"/>
  <c r="Q51" i="2"/>
  <c r="F34" i="1" s="1"/>
  <c r="S51" i="2"/>
  <c r="C50" i="2"/>
  <c r="O48" i="2"/>
  <c r="D33" i="1" s="1"/>
  <c r="P48" i="2"/>
  <c r="E33" i="1" s="1"/>
  <c r="T48" i="2"/>
  <c r="I33" i="1" s="1"/>
  <c r="R48" i="2"/>
  <c r="G33" i="1" s="1"/>
  <c r="S48" i="2"/>
  <c r="Q48" i="2"/>
  <c r="F33" i="1" s="1"/>
  <c r="Q47" i="2"/>
  <c r="F32" i="1" s="1"/>
  <c r="S47" i="2"/>
  <c r="H32" i="1" s="1"/>
  <c r="T47" i="2"/>
  <c r="P47" i="2"/>
  <c r="E32" i="1" s="1"/>
  <c r="O47" i="2"/>
  <c r="T46" i="2"/>
  <c r="I31" i="1" s="1"/>
  <c r="P46" i="2"/>
  <c r="E31" i="1" s="1"/>
  <c r="Q46" i="2"/>
  <c r="F31" i="1" s="1"/>
  <c r="S46" i="2"/>
  <c r="O46" i="2"/>
  <c r="Q45" i="2"/>
  <c r="F30" i="1" s="1"/>
  <c r="P45" i="2"/>
  <c r="E30" i="1" s="1"/>
  <c r="T45" i="2"/>
  <c r="I30" i="1" s="1"/>
  <c r="S45" i="2"/>
  <c r="O45" i="2"/>
  <c r="C44" i="2"/>
  <c r="T42" i="2"/>
  <c r="I29" i="1" s="1"/>
  <c r="Q42" i="2"/>
  <c r="F29" i="1" s="1"/>
  <c r="S42" i="2"/>
  <c r="O42" i="2"/>
  <c r="S41" i="2"/>
  <c r="H28" i="1" s="1"/>
  <c r="O41" i="2"/>
  <c r="Q41" i="2"/>
  <c r="F28" i="1" s="1"/>
  <c r="P41" i="2"/>
  <c r="E28" i="1" s="1"/>
  <c r="T41" i="2"/>
  <c r="Q40" i="2"/>
  <c r="F27" i="1" s="1"/>
  <c r="T40" i="2"/>
  <c r="I27" i="1" s="1"/>
  <c r="S40" i="2"/>
  <c r="P40" i="2"/>
  <c r="E27" i="1" s="1"/>
  <c r="O40" i="2"/>
  <c r="T39" i="2"/>
  <c r="I26" i="1" s="1"/>
  <c r="P39" i="2"/>
  <c r="E26" i="1" s="1"/>
  <c r="S39" i="2"/>
  <c r="Q39" i="2"/>
  <c r="F26" i="1" s="1"/>
  <c r="O39" i="2"/>
  <c r="S36" i="2"/>
  <c r="Q36" i="2"/>
  <c r="F25" i="1" s="1"/>
  <c r="P36" i="2"/>
  <c r="E25" i="1" s="1"/>
  <c r="O36" i="2"/>
  <c r="T35" i="2"/>
  <c r="I24" i="1" s="1"/>
  <c r="S35" i="2"/>
  <c r="H24" i="1" s="1"/>
  <c r="Q35" i="2"/>
  <c r="F24" i="1" s="1"/>
  <c r="P35" i="2"/>
  <c r="E24" i="1" s="1"/>
  <c r="O35" i="2"/>
  <c r="U35" i="2"/>
  <c r="J24" i="1" s="1"/>
  <c r="T34" i="2"/>
  <c r="I23" i="1" s="1"/>
  <c r="S34" i="2"/>
  <c r="H23" i="1" s="1"/>
  <c r="Q34" i="2"/>
  <c r="F23" i="1" s="1"/>
  <c r="P34" i="2"/>
  <c r="E23" i="1" s="1"/>
  <c r="O34" i="2"/>
  <c r="U34" i="2"/>
  <c r="J23" i="1" s="1"/>
  <c r="P33" i="2"/>
  <c r="E22" i="1" s="1"/>
  <c r="T33" i="2"/>
  <c r="I22" i="1" s="1"/>
  <c r="S33" i="2"/>
  <c r="Q33" i="2"/>
  <c r="F22" i="1" s="1"/>
  <c r="O33" i="2"/>
  <c r="T30" i="2"/>
  <c r="I21" i="1" s="1"/>
  <c r="S30" i="2"/>
  <c r="H21" i="1" s="1"/>
  <c r="Q30" i="2"/>
  <c r="F21" i="1" s="1"/>
  <c r="P30" i="2"/>
  <c r="E21" i="1" s="1"/>
  <c r="O30" i="2"/>
  <c r="U30" i="2"/>
  <c r="J21" i="1" s="1"/>
  <c r="T29" i="2"/>
  <c r="I20" i="1" s="1"/>
  <c r="Q29" i="2"/>
  <c r="F20" i="1" s="1"/>
  <c r="P29" i="2"/>
  <c r="E20" i="1" s="1"/>
  <c r="O29" i="2"/>
  <c r="S29" i="2"/>
  <c r="S28" i="2"/>
  <c r="Q28" i="2"/>
  <c r="F19" i="1" s="1"/>
  <c r="T28" i="2"/>
  <c r="I19" i="1" s="1"/>
  <c r="O28" i="2"/>
  <c r="P28" i="2"/>
  <c r="E19" i="1" s="1"/>
  <c r="T27" i="2"/>
  <c r="I18" i="1" s="1"/>
  <c r="Q27" i="2"/>
  <c r="F18" i="1" s="1"/>
  <c r="P27" i="2"/>
  <c r="E18" i="1" s="1"/>
  <c r="O27" i="2"/>
  <c r="S27" i="2"/>
  <c r="S24" i="2"/>
  <c r="H17" i="1" s="1"/>
  <c r="Q24" i="2"/>
  <c r="F17" i="1" s="1"/>
  <c r="P24" i="2"/>
  <c r="E17" i="1" s="1"/>
  <c r="T24" i="2"/>
  <c r="O24" i="2"/>
  <c r="P23" i="2"/>
  <c r="E16" i="1" s="1"/>
  <c r="Q23" i="2"/>
  <c r="F16" i="1" s="1"/>
  <c r="S23" i="2"/>
  <c r="T23" i="2"/>
  <c r="I16" i="1" s="1"/>
  <c r="O23" i="2"/>
  <c r="P22" i="2"/>
  <c r="E15" i="1" s="1"/>
  <c r="S22" i="2"/>
  <c r="Q22" i="2"/>
  <c r="F15" i="1" s="1"/>
  <c r="O22" i="2"/>
  <c r="T22" i="2"/>
  <c r="I15" i="1" s="1"/>
  <c r="T21" i="2"/>
  <c r="I14" i="1" s="1"/>
  <c r="S21" i="2"/>
  <c r="Q21" i="2"/>
  <c r="F14" i="1" s="1"/>
  <c r="P21" i="2"/>
  <c r="E14" i="1" s="1"/>
  <c r="O21" i="2"/>
  <c r="T18" i="2"/>
  <c r="I13" i="1" s="1"/>
  <c r="S18" i="2"/>
  <c r="P18" i="2"/>
  <c r="E13" i="1" s="1"/>
  <c r="Q18" i="2"/>
  <c r="F13" i="1" s="1"/>
  <c r="O18" i="2"/>
  <c r="T17" i="2"/>
  <c r="I12" i="1" s="1"/>
  <c r="S17" i="2"/>
  <c r="Q17" i="2"/>
  <c r="F12" i="1" s="1"/>
  <c r="P17" i="2"/>
  <c r="E12" i="1" s="1"/>
  <c r="O17" i="2"/>
  <c r="T16" i="2"/>
  <c r="I11" i="1" s="1"/>
  <c r="S16" i="2"/>
  <c r="Q16" i="2"/>
  <c r="F11" i="1" s="1"/>
  <c r="P16" i="2"/>
  <c r="E11" i="1" s="1"/>
  <c r="O16" i="2"/>
  <c r="T15" i="2"/>
  <c r="I10" i="1" s="1"/>
  <c r="S15" i="2"/>
  <c r="Q15" i="2"/>
  <c r="F10" i="1" s="1"/>
  <c r="O15" i="2"/>
  <c r="P15" i="2"/>
  <c r="E10" i="1" s="1"/>
  <c r="T12" i="2"/>
  <c r="I9" i="1" s="1"/>
  <c r="S12" i="2"/>
  <c r="Q12" i="2"/>
  <c r="F9" i="1" s="1"/>
  <c r="P12" i="2"/>
  <c r="E9" i="1" s="1"/>
  <c r="O12" i="2"/>
  <c r="S11" i="2"/>
  <c r="T11" i="2"/>
  <c r="I8" i="1" s="1"/>
  <c r="Q11" i="2"/>
  <c r="F8" i="1" s="1"/>
  <c r="P11" i="2"/>
  <c r="E8" i="1" s="1"/>
  <c r="O11" i="2"/>
  <c r="O10" i="2"/>
  <c r="D7" i="1" s="1"/>
  <c r="P10" i="2"/>
  <c r="Q10" i="2"/>
  <c r="F7" i="1" s="1"/>
  <c r="S10" i="2"/>
  <c r="T10" i="2"/>
  <c r="I7" i="1" s="1"/>
  <c r="T9" i="2"/>
  <c r="I6" i="1" s="1"/>
  <c r="S9" i="2"/>
  <c r="Q9" i="2"/>
  <c r="F6" i="1" s="1"/>
  <c r="P9" i="2"/>
  <c r="E6" i="1" s="1"/>
  <c r="O9" i="2"/>
  <c r="T6" i="2"/>
  <c r="I5" i="1" s="1"/>
  <c r="S6" i="2"/>
  <c r="O6" i="2"/>
  <c r="P6" i="2"/>
  <c r="E5" i="1" s="1"/>
  <c r="Q6" i="2"/>
  <c r="F5" i="1" s="1"/>
  <c r="O5" i="2"/>
  <c r="D4" i="1" s="1"/>
  <c r="Q5" i="2"/>
  <c r="F4" i="1" s="1"/>
  <c r="S5" i="2"/>
  <c r="H4" i="1" s="1"/>
  <c r="P5" i="2"/>
  <c r="T5" i="2"/>
  <c r="T4" i="2"/>
  <c r="I3" i="1" s="1"/>
  <c r="S4" i="2"/>
  <c r="Q4" i="2"/>
  <c r="F3" i="1" s="1"/>
  <c r="O4" i="2"/>
  <c r="P4" i="2"/>
  <c r="E3" i="1" s="1"/>
  <c r="O3" i="2"/>
  <c r="P3" i="2"/>
  <c r="E2" i="1" s="1"/>
  <c r="Q3" i="2"/>
  <c r="F2" i="1" s="1"/>
  <c r="T3" i="2"/>
  <c r="I2" i="1" s="1"/>
  <c r="S3" i="2"/>
  <c r="D2" i="1" l="1"/>
  <c r="R3" i="2"/>
  <c r="G2" i="1" s="1"/>
  <c r="H54" i="1"/>
  <c r="U81" i="2"/>
  <c r="J54" i="1" s="1"/>
  <c r="E47" i="1"/>
  <c r="R70" i="2"/>
  <c r="G47" i="1" s="1"/>
  <c r="I39" i="1"/>
  <c r="U58" i="2"/>
  <c r="J39" i="1" s="1"/>
  <c r="D13" i="1"/>
  <c r="R18" i="2"/>
  <c r="G13" i="1" s="1"/>
  <c r="H8" i="1"/>
  <c r="U11" i="2"/>
  <c r="J8" i="1" s="1"/>
  <c r="E7" i="1"/>
  <c r="R10" i="2"/>
  <c r="G7" i="1" s="1"/>
  <c r="H7" i="1"/>
  <c r="U10" i="2"/>
  <c r="J7" i="1" s="1"/>
  <c r="H46" i="1"/>
  <c r="U69" i="2"/>
  <c r="J46" i="1" s="1"/>
  <c r="I4" i="1"/>
  <c r="U5" i="2"/>
  <c r="U36" i="2"/>
  <c r="J25" i="1" s="1"/>
  <c r="H25" i="1"/>
  <c r="K7" i="1"/>
  <c r="D57" i="1"/>
  <c r="R84" i="2"/>
  <c r="G57" i="1" s="1"/>
  <c r="I57" i="1"/>
  <c r="U84" i="2"/>
  <c r="J57" i="1" s="1"/>
  <c r="H56" i="1"/>
  <c r="U83" i="2"/>
  <c r="J56" i="1" s="1"/>
  <c r="D56" i="1"/>
  <c r="R83" i="2"/>
  <c r="G56" i="1" s="1"/>
  <c r="K56" i="1" s="1"/>
  <c r="D55" i="1"/>
  <c r="R82" i="2"/>
  <c r="H55" i="1"/>
  <c r="U82" i="2"/>
  <c r="J55" i="1" s="1"/>
  <c r="D54" i="1"/>
  <c r="R81" i="2"/>
  <c r="D53" i="1"/>
  <c r="R78" i="2"/>
  <c r="G53" i="1" s="1"/>
  <c r="I53" i="1"/>
  <c r="U78" i="2"/>
  <c r="J53" i="1" s="1"/>
  <c r="H52" i="1"/>
  <c r="U77" i="2"/>
  <c r="J52" i="1" s="1"/>
  <c r="D52" i="1"/>
  <c r="R77" i="2"/>
  <c r="G52" i="1" s="1"/>
  <c r="K52" i="1" s="1"/>
  <c r="D51" i="1"/>
  <c r="R76" i="2"/>
  <c r="H51" i="1"/>
  <c r="U76" i="2"/>
  <c r="J51" i="1" s="1"/>
  <c r="H50" i="1"/>
  <c r="U75" i="2"/>
  <c r="J50" i="1" s="1"/>
  <c r="G50" i="1"/>
  <c r="V78" i="2"/>
  <c r="V77" i="2"/>
  <c r="V76" i="2"/>
  <c r="D49" i="1"/>
  <c r="R72" i="2"/>
  <c r="G49" i="1" s="1"/>
  <c r="H49" i="1"/>
  <c r="U72" i="2"/>
  <c r="J49" i="1" s="1"/>
  <c r="H48" i="1"/>
  <c r="U71" i="2"/>
  <c r="J48" i="1" s="1"/>
  <c r="D48" i="1"/>
  <c r="R71" i="2"/>
  <c r="G48" i="1" s="1"/>
  <c r="K48" i="1" s="1"/>
  <c r="H47" i="1"/>
  <c r="U70" i="2"/>
  <c r="J47" i="1" s="1"/>
  <c r="K47" i="1" s="1"/>
  <c r="D46" i="1"/>
  <c r="R69" i="2"/>
  <c r="H45" i="1"/>
  <c r="U66" i="2"/>
  <c r="J45" i="1" s="1"/>
  <c r="K45" i="1" s="1"/>
  <c r="D44" i="1"/>
  <c r="R65" i="2"/>
  <c r="G44" i="1" s="1"/>
  <c r="H44" i="1"/>
  <c r="U65" i="2"/>
  <c r="J44" i="1" s="1"/>
  <c r="H43" i="1"/>
  <c r="U64" i="2"/>
  <c r="J43" i="1" s="1"/>
  <c r="D43" i="1"/>
  <c r="R64" i="2"/>
  <c r="D42" i="1"/>
  <c r="R63" i="2"/>
  <c r="I42" i="1"/>
  <c r="U63" i="2"/>
  <c r="J42" i="1" s="1"/>
  <c r="D41" i="1"/>
  <c r="R60" i="2"/>
  <c r="G41" i="1" s="1"/>
  <c r="H41" i="1"/>
  <c r="U60" i="2"/>
  <c r="J41" i="1" s="1"/>
  <c r="D40" i="1"/>
  <c r="R59" i="2"/>
  <c r="G40" i="1" s="1"/>
  <c r="K40" i="1" s="1"/>
  <c r="E39" i="1"/>
  <c r="R58" i="2"/>
  <c r="G38" i="1"/>
  <c r="I38" i="1"/>
  <c r="U57" i="2"/>
  <c r="D37" i="1"/>
  <c r="R54" i="2"/>
  <c r="G37" i="1" s="1"/>
  <c r="I37" i="1"/>
  <c r="U54" i="2"/>
  <c r="J37" i="1" s="1"/>
  <c r="H36" i="1"/>
  <c r="U53" i="2"/>
  <c r="J36" i="1" s="1"/>
  <c r="K36" i="1" s="1"/>
  <c r="H35" i="1"/>
  <c r="U52" i="2"/>
  <c r="J35" i="1" s="1"/>
  <c r="D35" i="1"/>
  <c r="R52" i="2"/>
  <c r="D34" i="1"/>
  <c r="R51" i="2"/>
  <c r="H34" i="1"/>
  <c r="U51" i="2"/>
  <c r="J34" i="1" s="1"/>
  <c r="H33" i="1"/>
  <c r="U48" i="2"/>
  <c r="J33" i="1" s="1"/>
  <c r="K33" i="1" s="1"/>
  <c r="I32" i="1"/>
  <c r="U47" i="2"/>
  <c r="J32" i="1" s="1"/>
  <c r="D32" i="1"/>
  <c r="R47" i="2"/>
  <c r="G32" i="1" s="1"/>
  <c r="K32" i="1" s="1"/>
  <c r="H31" i="1"/>
  <c r="U46" i="2"/>
  <c r="J31" i="1" s="1"/>
  <c r="D31" i="1"/>
  <c r="R46" i="2"/>
  <c r="H30" i="1"/>
  <c r="U45" i="2"/>
  <c r="J30" i="1" s="1"/>
  <c r="D30" i="1"/>
  <c r="R45" i="2"/>
  <c r="H29" i="1"/>
  <c r="U42" i="2"/>
  <c r="J29" i="1" s="1"/>
  <c r="D29" i="1"/>
  <c r="R42" i="2"/>
  <c r="G29" i="1" s="1"/>
  <c r="K29" i="1" s="1"/>
  <c r="D28" i="1"/>
  <c r="R41" i="2"/>
  <c r="G28" i="1" s="1"/>
  <c r="I28" i="1"/>
  <c r="U41" i="2"/>
  <c r="J28" i="1" s="1"/>
  <c r="H27" i="1"/>
  <c r="U40" i="2"/>
  <c r="J27" i="1" s="1"/>
  <c r="D27" i="1"/>
  <c r="R40" i="2"/>
  <c r="H26" i="1"/>
  <c r="U39" i="2"/>
  <c r="J26" i="1" s="1"/>
  <c r="D26" i="1"/>
  <c r="R39" i="2"/>
  <c r="D25" i="1"/>
  <c r="R36" i="2"/>
  <c r="G25" i="1" s="1"/>
  <c r="D24" i="1"/>
  <c r="R35" i="2"/>
  <c r="G24" i="1" s="1"/>
  <c r="K24" i="1" s="1"/>
  <c r="D23" i="1"/>
  <c r="R34" i="2"/>
  <c r="H22" i="1"/>
  <c r="U33" i="2"/>
  <c r="J22" i="1" s="1"/>
  <c r="D22" i="1"/>
  <c r="R33" i="2"/>
  <c r="D21" i="1"/>
  <c r="R30" i="2"/>
  <c r="G21" i="1" s="1"/>
  <c r="K21" i="1" s="1"/>
  <c r="D20" i="1"/>
  <c r="R29" i="2"/>
  <c r="G20" i="1" s="1"/>
  <c r="H20" i="1"/>
  <c r="U29" i="2"/>
  <c r="J20" i="1" s="1"/>
  <c r="H19" i="1"/>
  <c r="U28" i="2"/>
  <c r="J19" i="1" s="1"/>
  <c r="D19" i="1"/>
  <c r="R28" i="2"/>
  <c r="D18" i="1"/>
  <c r="R27" i="2"/>
  <c r="H18" i="1"/>
  <c r="U27" i="2"/>
  <c r="J18" i="1" s="1"/>
  <c r="I17" i="1"/>
  <c r="U24" i="2"/>
  <c r="J17" i="1" s="1"/>
  <c r="D17" i="1"/>
  <c r="R24" i="2"/>
  <c r="G17" i="1" s="1"/>
  <c r="K17" i="1" s="1"/>
  <c r="H16" i="1"/>
  <c r="U23" i="2"/>
  <c r="J16" i="1" s="1"/>
  <c r="D16" i="1"/>
  <c r="R23" i="2"/>
  <c r="G16" i="1" s="1"/>
  <c r="H15" i="1"/>
  <c r="U22" i="2"/>
  <c r="J15" i="1" s="1"/>
  <c r="D15" i="1"/>
  <c r="R22" i="2"/>
  <c r="H14" i="1"/>
  <c r="U21" i="2"/>
  <c r="J14" i="1" s="1"/>
  <c r="D14" i="1"/>
  <c r="R21" i="2"/>
  <c r="H13" i="1"/>
  <c r="U18" i="2"/>
  <c r="J13" i="1" s="1"/>
  <c r="K13" i="1" s="1"/>
  <c r="H12" i="1"/>
  <c r="U17" i="2"/>
  <c r="J12" i="1" s="1"/>
  <c r="D12" i="1"/>
  <c r="R17" i="2"/>
  <c r="G12" i="1" s="1"/>
  <c r="K12" i="1" s="1"/>
  <c r="H11" i="1"/>
  <c r="U16" i="2"/>
  <c r="J11" i="1" s="1"/>
  <c r="D11" i="1"/>
  <c r="R16" i="2"/>
  <c r="H10" i="1"/>
  <c r="U15" i="2"/>
  <c r="J10" i="1" s="1"/>
  <c r="D10" i="1"/>
  <c r="R15" i="2"/>
  <c r="H9" i="1"/>
  <c r="U12" i="2"/>
  <c r="J9" i="1" s="1"/>
  <c r="D9" i="1"/>
  <c r="R12" i="2"/>
  <c r="G9" i="1" s="1"/>
  <c r="K9" i="1" s="1"/>
  <c r="D8" i="1"/>
  <c r="R11" i="2"/>
  <c r="G8" i="1" s="1"/>
  <c r="H6" i="1"/>
  <c r="U9" i="2"/>
  <c r="J6" i="1" s="1"/>
  <c r="D6" i="1"/>
  <c r="R9" i="2"/>
  <c r="H5" i="1"/>
  <c r="U6" i="2"/>
  <c r="J5" i="1" s="1"/>
  <c r="D5" i="1"/>
  <c r="R6" i="2"/>
  <c r="G5" i="1" s="1"/>
  <c r="K5" i="1" s="1"/>
  <c r="E4" i="1"/>
  <c r="R5" i="2"/>
  <c r="G4" i="1" s="1"/>
  <c r="H3" i="1"/>
  <c r="U4" i="2"/>
  <c r="J3" i="1" s="1"/>
  <c r="D3" i="1"/>
  <c r="R4" i="2"/>
  <c r="H2" i="1"/>
  <c r="U3" i="2"/>
  <c r="J2" i="1" s="1"/>
  <c r="K50" i="1" l="1"/>
  <c r="K25" i="1"/>
  <c r="K8" i="1"/>
  <c r="K2" i="1"/>
  <c r="J4" i="1"/>
  <c r="V6" i="2"/>
  <c r="V5" i="2"/>
  <c r="V4" i="2"/>
  <c r="K4" i="1"/>
  <c r="V81" i="2"/>
  <c r="G55" i="1"/>
  <c r="K55" i="1" s="1"/>
  <c r="V82" i="2"/>
  <c r="V83" i="2"/>
  <c r="V84" i="2"/>
  <c r="G54" i="1"/>
  <c r="K54" i="1" s="1"/>
  <c r="V75" i="2"/>
  <c r="G51" i="1"/>
  <c r="K51" i="1" s="1"/>
  <c r="V70" i="2"/>
  <c r="V71" i="2"/>
  <c r="V72" i="2"/>
  <c r="V69" i="2"/>
  <c r="G46" i="1"/>
  <c r="K46" i="1" s="1"/>
  <c r="V63" i="2"/>
  <c r="G43" i="1"/>
  <c r="K43" i="1" s="1"/>
  <c r="V64" i="2"/>
  <c r="V65" i="2"/>
  <c r="V66" i="2"/>
  <c r="G42" i="1"/>
  <c r="K42" i="1" s="1"/>
  <c r="V57" i="2"/>
  <c r="G39" i="1"/>
  <c r="K39" i="1" s="1"/>
  <c r="V51" i="2"/>
  <c r="G35" i="1"/>
  <c r="K35" i="1" s="1"/>
  <c r="V52" i="2"/>
  <c r="V53" i="2"/>
  <c r="V54" i="2"/>
  <c r="G34" i="1"/>
  <c r="K34" i="1" s="1"/>
  <c r="V45" i="2"/>
  <c r="G31" i="1"/>
  <c r="K31" i="1" s="1"/>
  <c r="V46" i="2"/>
  <c r="V47" i="2"/>
  <c r="V48" i="2"/>
  <c r="G30" i="1"/>
  <c r="K30" i="1" s="1"/>
  <c r="V39" i="2"/>
  <c r="G27" i="1"/>
  <c r="K27" i="1" s="1"/>
  <c r="V40" i="2"/>
  <c r="V41" i="2"/>
  <c r="V42" i="2"/>
  <c r="G26" i="1"/>
  <c r="K26" i="1" s="1"/>
  <c r="V33" i="2"/>
  <c r="G23" i="1"/>
  <c r="K23" i="1" s="1"/>
  <c r="G22" i="1"/>
  <c r="K22" i="1" s="1"/>
  <c r="V36" i="2"/>
  <c r="V35" i="2"/>
  <c r="V34" i="2"/>
  <c r="V27" i="2"/>
  <c r="G19" i="1"/>
  <c r="K19" i="1" s="1"/>
  <c r="V28" i="2"/>
  <c r="V30" i="2"/>
  <c r="V29" i="2"/>
  <c r="G18" i="1"/>
  <c r="K18" i="1" s="1"/>
  <c r="V21" i="2"/>
  <c r="G15" i="1"/>
  <c r="K15" i="1" s="1"/>
  <c r="V22" i="2"/>
  <c r="V23" i="2"/>
  <c r="V24" i="2"/>
  <c r="G14" i="1"/>
  <c r="K14" i="1" s="1"/>
  <c r="V15" i="2"/>
  <c r="G11" i="1"/>
  <c r="K11" i="1" s="1"/>
  <c r="V16" i="2"/>
  <c r="V17" i="2"/>
  <c r="V18" i="2"/>
  <c r="G10" i="1"/>
  <c r="K10" i="1" s="1"/>
  <c r="V9" i="2"/>
  <c r="V10" i="2"/>
  <c r="V11" i="2"/>
  <c r="V12" i="2"/>
  <c r="G6" i="1"/>
  <c r="K6" i="1" s="1"/>
  <c r="V3" i="2"/>
  <c r="G3" i="1"/>
  <c r="K3" i="1" s="1"/>
  <c r="K57" i="1"/>
  <c r="K53" i="1"/>
  <c r="K49" i="1"/>
  <c r="K44" i="1"/>
  <c r="K41" i="1"/>
  <c r="K37" i="1"/>
  <c r="K28" i="1"/>
  <c r="K20" i="1"/>
  <c r="K16" i="1"/>
  <c r="J38" i="1"/>
  <c r="K38" i="1" s="1"/>
  <c r="V60" i="2"/>
  <c r="V59" i="2"/>
  <c r="V58" i="2"/>
  <c r="P1" i="5" l="1"/>
  <c r="P2" i="5"/>
  <c r="P4" i="5"/>
  <c r="P3" i="5"/>
  <c r="J34" i="4"/>
  <c r="I34" i="4"/>
  <c r="H34" i="4"/>
  <c r="J33" i="4"/>
  <c r="I33" i="4"/>
  <c r="H33" i="4"/>
  <c r="J32" i="4"/>
  <c r="I32" i="4"/>
  <c r="H32" i="4"/>
  <c r="J31" i="4"/>
  <c r="I31" i="4"/>
  <c r="H31" i="4"/>
  <c r="AC4" i="5"/>
  <c r="AC3" i="5"/>
  <c r="AC2" i="5"/>
  <c r="AC1" i="5"/>
  <c r="E34" i="4"/>
  <c r="D34" i="4"/>
  <c r="C34" i="4"/>
  <c r="E33" i="4"/>
  <c r="D33" i="4"/>
  <c r="C33" i="4"/>
  <c r="E32" i="4"/>
  <c r="D32" i="4"/>
  <c r="C32" i="4"/>
  <c r="E31" i="4"/>
  <c r="D31" i="4"/>
  <c r="C31" i="4"/>
  <c r="O27" i="4"/>
  <c r="N27" i="4"/>
  <c r="M27" i="4"/>
  <c r="O26" i="4"/>
  <c r="N26" i="4"/>
  <c r="M26" i="4"/>
  <c r="O25" i="4"/>
  <c r="N25" i="4"/>
  <c r="M25" i="4"/>
  <c r="O24" i="4"/>
  <c r="N24" i="4"/>
  <c r="M24" i="4"/>
  <c r="AA4" i="5"/>
  <c r="AA2" i="5"/>
  <c r="AA3" i="5"/>
  <c r="AA1" i="5"/>
  <c r="J27" i="4"/>
  <c r="I27" i="4"/>
  <c r="H27" i="4"/>
  <c r="J26" i="4"/>
  <c r="I26" i="4"/>
  <c r="H26" i="4"/>
  <c r="J25" i="4"/>
  <c r="I25" i="4"/>
  <c r="H25" i="4"/>
  <c r="J24" i="4"/>
  <c r="I24" i="4"/>
  <c r="H24" i="4"/>
  <c r="Z3" i="5"/>
  <c r="Z1" i="5"/>
  <c r="Z4" i="5"/>
  <c r="Z2" i="5"/>
  <c r="E27" i="4"/>
  <c r="D27" i="4"/>
  <c r="C27" i="4"/>
  <c r="E26" i="4"/>
  <c r="D26" i="4"/>
  <c r="C26" i="4"/>
  <c r="E25" i="4"/>
  <c r="D25" i="4"/>
  <c r="C25" i="4"/>
  <c r="E24" i="4"/>
  <c r="D24" i="4"/>
  <c r="C24" i="4"/>
  <c r="O20" i="4"/>
  <c r="N20" i="4"/>
  <c r="M20" i="4"/>
  <c r="O19" i="4"/>
  <c r="N19" i="4"/>
  <c r="M19" i="4"/>
  <c r="O18" i="4"/>
  <c r="N18" i="4"/>
  <c r="M18" i="4"/>
  <c r="O17" i="4"/>
  <c r="N17" i="4"/>
  <c r="M17" i="4"/>
  <c r="X4" i="5"/>
  <c r="X1" i="5"/>
  <c r="X3" i="5"/>
  <c r="X2" i="5"/>
  <c r="J20" i="4"/>
  <c r="I20" i="4"/>
  <c r="H20" i="4"/>
  <c r="J19" i="4"/>
  <c r="I19" i="4"/>
  <c r="H19" i="4"/>
  <c r="J18" i="4"/>
  <c r="I18" i="4"/>
  <c r="H18" i="4"/>
  <c r="J17" i="4"/>
  <c r="I17" i="4"/>
  <c r="H17" i="4"/>
  <c r="W3" i="5"/>
  <c r="W1" i="5"/>
  <c r="W4" i="5"/>
  <c r="W2" i="5"/>
  <c r="E20" i="4"/>
  <c r="D20" i="4"/>
  <c r="C20" i="4"/>
  <c r="E19" i="4"/>
  <c r="D19" i="4"/>
  <c r="C19" i="4"/>
  <c r="E18" i="4"/>
  <c r="D18" i="4"/>
  <c r="C18" i="4"/>
  <c r="E17" i="4"/>
  <c r="D17" i="4"/>
  <c r="C17" i="4"/>
  <c r="V3" i="5"/>
  <c r="V1" i="5"/>
  <c r="V4" i="5"/>
  <c r="V2" i="5"/>
  <c r="O13" i="4"/>
  <c r="N13" i="4"/>
  <c r="M13" i="4"/>
  <c r="O12" i="4"/>
  <c r="N12" i="4"/>
  <c r="M12" i="4"/>
  <c r="O11" i="4"/>
  <c r="N11" i="4"/>
  <c r="M11" i="4"/>
  <c r="O10" i="4"/>
  <c r="N10" i="4"/>
  <c r="M10" i="4"/>
  <c r="U1" i="5"/>
  <c r="U3" i="5"/>
  <c r="U2" i="5"/>
  <c r="U4" i="5"/>
  <c r="J13" i="4"/>
  <c r="I13" i="4"/>
  <c r="H13" i="4"/>
  <c r="J12" i="4"/>
  <c r="I12" i="4"/>
  <c r="H12" i="4"/>
  <c r="J11" i="4"/>
  <c r="I11" i="4"/>
  <c r="H11" i="4"/>
  <c r="J10" i="4"/>
  <c r="I10" i="4"/>
  <c r="H10" i="4"/>
  <c r="T3" i="5"/>
  <c r="T1" i="5"/>
  <c r="T4" i="5"/>
  <c r="T2" i="5"/>
  <c r="E13" i="4"/>
  <c r="D13" i="4"/>
  <c r="C13" i="4"/>
  <c r="E12" i="4"/>
  <c r="D12" i="4"/>
  <c r="C12" i="4"/>
  <c r="E11" i="4"/>
  <c r="D11" i="4"/>
  <c r="C11" i="4"/>
  <c r="E10" i="4"/>
  <c r="D10" i="4"/>
  <c r="C10" i="4"/>
  <c r="S4" i="5"/>
  <c r="S2" i="5"/>
  <c r="S3" i="5"/>
  <c r="S1" i="5"/>
  <c r="O6" i="4"/>
  <c r="N6" i="4"/>
  <c r="M6" i="4"/>
  <c r="O5" i="4"/>
  <c r="N5" i="4"/>
  <c r="M5" i="4"/>
  <c r="O4" i="4"/>
  <c r="N4" i="4"/>
  <c r="M4" i="4"/>
  <c r="O3" i="4"/>
  <c r="N3" i="4"/>
  <c r="M3" i="4"/>
  <c r="R3" i="5"/>
  <c r="R1" i="5"/>
  <c r="R4" i="5"/>
  <c r="R2" i="5"/>
  <c r="J6" i="4"/>
  <c r="I6" i="4"/>
  <c r="H6" i="4"/>
  <c r="J5" i="4"/>
  <c r="I5" i="4"/>
  <c r="H5" i="4"/>
  <c r="J4" i="4"/>
  <c r="I4" i="4"/>
  <c r="H4" i="4"/>
  <c r="J3" i="4"/>
  <c r="I3" i="4"/>
  <c r="H3" i="4"/>
  <c r="Q3" i="5"/>
  <c r="Q2" i="5"/>
  <c r="Q4" i="5"/>
  <c r="Q1" i="5"/>
  <c r="E6" i="4"/>
  <c r="D6" i="4"/>
  <c r="C6" i="4"/>
  <c r="E5" i="4"/>
  <c r="D5" i="4"/>
  <c r="C5" i="4"/>
  <c r="E4" i="4"/>
  <c r="D4" i="4"/>
  <c r="C4" i="4"/>
  <c r="E3" i="4"/>
  <c r="D3" i="4"/>
  <c r="C3" i="4"/>
  <c r="Y1" i="5"/>
  <c r="Y4" i="5"/>
  <c r="Y2" i="5"/>
  <c r="Y3" i="5"/>
  <c r="I51" i="3"/>
  <c r="D40" i="3"/>
  <c r="E40" i="3"/>
  <c r="F40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I18" i="3"/>
  <c r="B19" i="3"/>
  <c r="E19" i="3"/>
  <c r="H19" i="3"/>
  <c r="K19" i="3"/>
  <c r="B20" i="3"/>
  <c r="E20" i="3"/>
  <c r="H20" i="3"/>
  <c r="K20" i="3"/>
  <c r="D21" i="3"/>
  <c r="G21" i="3"/>
  <c r="J21" i="3"/>
  <c r="C22" i="3"/>
  <c r="E22" i="3"/>
  <c r="G22" i="3"/>
  <c r="J22" i="3"/>
  <c r="C23" i="3"/>
  <c r="E23" i="3"/>
  <c r="H23" i="3"/>
  <c r="J23" i="3"/>
  <c r="C24" i="3"/>
  <c r="F24" i="3"/>
  <c r="I24" i="3"/>
  <c r="B25" i="3"/>
  <c r="E25" i="3"/>
  <c r="F25" i="3"/>
  <c r="I25" i="3"/>
  <c r="B26" i="3"/>
  <c r="E26" i="3"/>
  <c r="H26" i="3"/>
  <c r="K26" i="3"/>
  <c r="B27" i="3"/>
  <c r="E27" i="3"/>
  <c r="H27" i="3"/>
  <c r="K27" i="3"/>
  <c r="B28" i="3"/>
  <c r="E28" i="3"/>
  <c r="H28" i="3"/>
  <c r="K28" i="3"/>
  <c r="D29" i="3"/>
  <c r="F29" i="3"/>
  <c r="H29" i="3"/>
  <c r="K35" i="3"/>
  <c r="K29" i="3"/>
  <c r="D30" i="3"/>
  <c r="E30" i="3"/>
  <c r="H30" i="3"/>
  <c r="K30" i="3"/>
  <c r="D31" i="3"/>
  <c r="G31" i="3"/>
  <c r="J31" i="3"/>
  <c r="K31" i="3"/>
  <c r="D32" i="3"/>
  <c r="G32" i="3"/>
  <c r="J32" i="3"/>
  <c r="C33" i="3"/>
  <c r="E57" i="3"/>
  <c r="D57" i="3"/>
  <c r="C57" i="3"/>
  <c r="B57" i="3"/>
  <c r="K56" i="3"/>
  <c r="J56" i="3"/>
  <c r="I56" i="3"/>
  <c r="H56" i="3"/>
  <c r="G56" i="3"/>
  <c r="F56" i="3"/>
  <c r="E56" i="3"/>
  <c r="D56" i="3"/>
  <c r="C56" i="3"/>
  <c r="B56" i="3"/>
  <c r="K55" i="3"/>
  <c r="J55" i="3"/>
  <c r="I55" i="3"/>
  <c r="H55" i="3"/>
  <c r="G55" i="3"/>
  <c r="F55" i="3"/>
  <c r="E55" i="3"/>
  <c r="D55" i="3"/>
  <c r="C55" i="3"/>
  <c r="B55" i="3"/>
  <c r="K54" i="3"/>
  <c r="J54" i="3"/>
  <c r="I54" i="3"/>
  <c r="H54" i="3"/>
  <c r="G54" i="3"/>
  <c r="F54" i="3"/>
  <c r="E54" i="3"/>
  <c r="D54" i="3"/>
  <c r="C54" i="3"/>
  <c r="B54" i="3"/>
  <c r="K53" i="3"/>
  <c r="J53" i="3"/>
  <c r="I53" i="3"/>
  <c r="H53" i="3"/>
  <c r="G53" i="3"/>
  <c r="F53" i="3"/>
  <c r="E53" i="3"/>
  <c r="D53" i="3"/>
  <c r="C53" i="3"/>
  <c r="B53" i="3"/>
  <c r="K52" i="3"/>
  <c r="J52" i="3"/>
  <c r="I52" i="3"/>
  <c r="H52" i="3"/>
  <c r="G52" i="3"/>
  <c r="F52" i="3"/>
  <c r="E52" i="3"/>
  <c r="D52" i="3"/>
  <c r="C52" i="3"/>
  <c r="B52" i="3"/>
  <c r="K51" i="3"/>
  <c r="J51" i="3"/>
  <c r="D33" i="3"/>
  <c r="H51" i="3"/>
  <c r="G51" i="3"/>
  <c r="F51" i="3"/>
  <c r="E51" i="3"/>
  <c r="D51" i="3"/>
  <c r="C51" i="3"/>
  <c r="B51" i="3"/>
  <c r="K50" i="3"/>
  <c r="J50" i="3"/>
  <c r="I50" i="3"/>
  <c r="H50" i="3"/>
  <c r="G50" i="3"/>
  <c r="F50" i="3"/>
  <c r="E50" i="3"/>
  <c r="D50" i="3"/>
  <c r="C50" i="3"/>
  <c r="B50" i="3"/>
  <c r="K49" i="3"/>
  <c r="J49" i="3"/>
  <c r="I49" i="3"/>
  <c r="H49" i="3"/>
  <c r="G49" i="3"/>
  <c r="F49" i="3"/>
  <c r="E49" i="3"/>
  <c r="D49" i="3"/>
  <c r="C49" i="3"/>
  <c r="B49" i="3"/>
  <c r="K48" i="3"/>
  <c r="J48" i="3"/>
  <c r="I48" i="3"/>
  <c r="H48" i="3"/>
  <c r="G48" i="3"/>
  <c r="F48" i="3"/>
  <c r="E48" i="3"/>
  <c r="D48" i="3"/>
  <c r="C48" i="3"/>
  <c r="B48" i="3"/>
  <c r="K47" i="3"/>
  <c r="J47" i="3"/>
  <c r="I47" i="3"/>
  <c r="H47" i="3"/>
  <c r="G47" i="3"/>
  <c r="F47" i="3"/>
  <c r="E47" i="3"/>
  <c r="D47" i="3"/>
  <c r="C47" i="3"/>
  <c r="B47" i="3"/>
  <c r="K46" i="3"/>
  <c r="J46" i="3"/>
  <c r="I46" i="3"/>
  <c r="H46" i="3"/>
  <c r="G46" i="3"/>
  <c r="F46" i="3"/>
  <c r="E46" i="3"/>
  <c r="D46" i="3"/>
  <c r="C46" i="3"/>
  <c r="B46" i="3"/>
  <c r="K45" i="3"/>
  <c r="J45" i="3"/>
  <c r="I45" i="3"/>
  <c r="H45" i="3"/>
  <c r="G45" i="3"/>
  <c r="F45" i="3"/>
  <c r="E45" i="3"/>
  <c r="D45" i="3"/>
  <c r="C45" i="3"/>
  <c r="B45" i="3"/>
  <c r="K44" i="3"/>
  <c r="J44" i="3"/>
  <c r="I44" i="3"/>
  <c r="H44" i="3"/>
  <c r="G44" i="3"/>
  <c r="F44" i="3"/>
  <c r="E44" i="3"/>
  <c r="D44" i="3"/>
  <c r="C44" i="3"/>
  <c r="B44" i="3"/>
  <c r="K43" i="3"/>
  <c r="J43" i="3"/>
  <c r="I43" i="3"/>
  <c r="H43" i="3"/>
  <c r="G43" i="3"/>
  <c r="F43" i="3"/>
  <c r="E43" i="3"/>
  <c r="G33" i="3"/>
  <c r="J33" i="3"/>
  <c r="C34" i="3"/>
  <c r="D34" i="3"/>
  <c r="G34" i="3"/>
  <c r="J34" i="3"/>
  <c r="C35" i="3"/>
  <c r="F35" i="3"/>
  <c r="G35" i="3"/>
  <c r="H35" i="3"/>
  <c r="I35" i="3"/>
  <c r="J35" i="3"/>
  <c r="B36" i="3"/>
  <c r="C36" i="3"/>
  <c r="D36" i="3"/>
  <c r="E36" i="3"/>
  <c r="F36" i="3"/>
  <c r="G36" i="3"/>
  <c r="H36" i="3"/>
  <c r="I36" i="3"/>
  <c r="J36" i="3"/>
  <c r="K36" i="3"/>
  <c r="B37" i="3"/>
  <c r="C37" i="3"/>
  <c r="D37" i="3"/>
  <c r="E37" i="3"/>
  <c r="F37" i="3"/>
  <c r="G37" i="3"/>
  <c r="H37" i="3"/>
  <c r="I37" i="3"/>
  <c r="J37" i="3"/>
  <c r="K37" i="3"/>
  <c r="B38" i="3"/>
  <c r="C38" i="3"/>
  <c r="D38" i="3"/>
  <c r="E38" i="3"/>
  <c r="F38" i="3"/>
  <c r="G38" i="3"/>
  <c r="H38" i="3"/>
  <c r="I38" i="3"/>
  <c r="J38" i="3"/>
  <c r="K38" i="3"/>
  <c r="B39" i="3"/>
  <c r="C39" i="3"/>
  <c r="D39" i="3"/>
  <c r="E39" i="3"/>
  <c r="F39" i="3"/>
  <c r="G39" i="3"/>
  <c r="H39" i="3"/>
  <c r="I39" i="3"/>
  <c r="J39" i="3"/>
  <c r="K39" i="3"/>
  <c r="B40" i="3"/>
  <c r="C40" i="3"/>
  <c r="B16" i="3"/>
  <c r="K15" i="3"/>
  <c r="J15" i="3"/>
  <c r="I15" i="3"/>
  <c r="H15" i="3"/>
  <c r="G15" i="3"/>
  <c r="F15" i="3"/>
  <c r="E15" i="3"/>
  <c r="D15" i="3"/>
  <c r="C15" i="3"/>
  <c r="B15" i="3"/>
  <c r="K14" i="3"/>
  <c r="J14" i="3"/>
  <c r="I14" i="3"/>
  <c r="H14" i="3"/>
  <c r="G14" i="3"/>
  <c r="F14" i="3"/>
  <c r="E14" i="3"/>
  <c r="D14" i="3"/>
  <c r="C14" i="3"/>
  <c r="B14" i="3"/>
  <c r="K13" i="3"/>
  <c r="J13" i="3"/>
  <c r="I13" i="3"/>
  <c r="AB2" i="5"/>
  <c r="AB1" i="5"/>
  <c r="AB4" i="5"/>
  <c r="AB3" i="5"/>
  <c r="C4" i="3"/>
  <c r="E4" i="3"/>
  <c r="G4" i="3"/>
  <c r="I4" i="3"/>
  <c r="K4" i="3"/>
  <c r="C5" i="3"/>
  <c r="E5" i="3"/>
  <c r="G5" i="3"/>
  <c r="I5" i="3"/>
  <c r="K5" i="3"/>
  <c r="D6" i="3"/>
  <c r="F6" i="3"/>
  <c r="H6" i="3"/>
  <c r="J6" i="3"/>
  <c r="C7" i="3"/>
  <c r="E7" i="3"/>
  <c r="G7" i="3"/>
  <c r="I7" i="3"/>
  <c r="K7" i="3"/>
  <c r="D8" i="3"/>
  <c r="F8" i="3"/>
  <c r="H8" i="3"/>
  <c r="J8" i="3"/>
  <c r="B9" i="3"/>
  <c r="D9" i="3"/>
  <c r="F9" i="3"/>
  <c r="I9" i="3"/>
  <c r="K9" i="3"/>
  <c r="C10" i="3"/>
  <c r="G40" i="3"/>
  <c r="H40" i="3"/>
  <c r="I40" i="3"/>
  <c r="J40" i="3"/>
  <c r="K40" i="3"/>
  <c r="B41" i="3"/>
  <c r="C41" i="3"/>
  <c r="D41" i="3"/>
  <c r="E41" i="3"/>
  <c r="F41" i="3"/>
  <c r="G41" i="3"/>
  <c r="H41" i="3"/>
  <c r="I41" i="3"/>
  <c r="J41" i="3"/>
  <c r="K41" i="3"/>
  <c r="B42" i="3"/>
  <c r="K3" i="3"/>
  <c r="C42" i="3"/>
  <c r="D42" i="3"/>
  <c r="E42" i="3"/>
  <c r="F42" i="3"/>
  <c r="G42" i="3"/>
  <c r="H42" i="3"/>
  <c r="I42" i="3"/>
  <c r="J42" i="3"/>
  <c r="K42" i="3"/>
  <c r="B43" i="3"/>
  <c r="C43" i="3"/>
  <c r="D43" i="3"/>
  <c r="H57" i="3"/>
  <c r="G18" i="3"/>
  <c r="C19" i="3"/>
  <c r="I19" i="3"/>
  <c r="F20" i="3"/>
  <c r="I20" i="3"/>
  <c r="H21" i="3"/>
  <c r="K22" i="3"/>
  <c r="B24" i="3"/>
  <c r="K24" i="3"/>
  <c r="G26" i="3"/>
  <c r="G27" i="3"/>
  <c r="F57" i="3"/>
  <c r="G57" i="3"/>
  <c r="I57" i="3"/>
  <c r="J57" i="3"/>
  <c r="K57" i="3"/>
  <c r="B58" i="3"/>
  <c r="C58" i="3"/>
  <c r="D58" i="3"/>
  <c r="E58" i="3"/>
  <c r="F58" i="3"/>
  <c r="G58" i="3"/>
  <c r="H58" i="3"/>
  <c r="I58" i="3"/>
  <c r="J58" i="3"/>
  <c r="K58" i="3"/>
  <c r="H18" i="3"/>
  <c r="K18" i="3"/>
  <c r="D19" i="3"/>
  <c r="G19" i="3"/>
  <c r="J19" i="3"/>
  <c r="D20" i="3"/>
  <c r="G20" i="3"/>
  <c r="J20" i="3"/>
  <c r="C21" i="3"/>
  <c r="F21" i="3"/>
  <c r="I21" i="3"/>
  <c r="B22" i="3"/>
  <c r="F22" i="3"/>
  <c r="I22" i="3"/>
  <c r="B23" i="3"/>
  <c r="F23" i="3"/>
  <c r="I23" i="3"/>
  <c r="K23" i="3"/>
  <c r="D24" i="3"/>
  <c r="H24" i="3"/>
  <c r="J24" i="3"/>
  <c r="C25" i="3"/>
  <c r="H25" i="3"/>
  <c r="K25" i="3"/>
  <c r="C26" i="3"/>
  <c r="F26" i="3"/>
  <c r="I26" i="3"/>
  <c r="D27" i="3"/>
  <c r="F27" i="3"/>
  <c r="J27" i="3"/>
  <c r="C28" i="3"/>
  <c r="F28" i="3"/>
  <c r="I28" i="3"/>
  <c r="B29" i="3"/>
  <c r="E29" i="3"/>
  <c r="I29" i="3"/>
  <c r="B30" i="3"/>
  <c r="G30" i="3"/>
  <c r="J30" i="3"/>
  <c r="C31" i="3"/>
  <c r="E31" i="3"/>
  <c r="H31" i="3"/>
  <c r="B32" i="3"/>
  <c r="E32" i="3"/>
  <c r="I32" i="3"/>
  <c r="B33" i="3"/>
  <c r="F33" i="3"/>
  <c r="I33" i="3"/>
  <c r="B34" i="3"/>
  <c r="F34" i="3"/>
  <c r="H34" i="3"/>
  <c r="K34" i="3"/>
  <c r="E35" i="3"/>
  <c r="I3" i="3"/>
  <c r="F3" i="3"/>
  <c r="D3" i="3"/>
  <c r="D35" i="3"/>
  <c r="I34" i="3"/>
  <c r="K33" i="3"/>
  <c r="E33" i="3"/>
  <c r="F32" i="3"/>
  <c r="I31" i="3"/>
  <c r="B31" i="3"/>
  <c r="F30" i="3"/>
  <c r="G29" i="3"/>
  <c r="J28" i="3"/>
  <c r="D28" i="3"/>
  <c r="C27" i="3"/>
  <c r="D26" i="3"/>
  <c r="D25" i="3"/>
  <c r="E24" i="3"/>
  <c r="D23" i="3"/>
  <c r="K21" i="3"/>
  <c r="B21" i="3"/>
  <c r="C20" i="3"/>
  <c r="F19" i="3"/>
  <c r="J18" i="3"/>
  <c r="H13" i="3"/>
  <c r="G13" i="3"/>
  <c r="F13" i="3"/>
  <c r="E13" i="3"/>
  <c r="D13" i="3"/>
  <c r="C13" i="3"/>
  <c r="B13" i="3"/>
  <c r="K12" i="3"/>
  <c r="J12" i="3"/>
  <c r="I12" i="3"/>
  <c r="H12" i="3"/>
  <c r="G12" i="3"/>
  <c r="F12" i="3"/>
  <c r="E12" i="3"/>
  <c r="D12" i="3"/>
  <c r="C12" i="3"/>
  <c r="B12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B10" i="3"/>
  <c r="J9" i="3"/>
  <c r="H9" i="3"/>
  <c r="G9" i="3"/>
  <c r="E9" i="3"/>
  <c r="C9" i="3"/>
  <c r="K8" i="3"/>
  <c r="I8" i="3"/>
  <c r="G8" i="3"/>
  <c r="E8" i="3"/>
  <c r="C8" i="3"/>
  <c r="B8" i="3"/>
  <c r="J7" i="3"/>
  <c r="H7" i="3"/>
  <c r="F7" i="3"/>
  <c r="D7" i="3"/>
  <c r="B7" i="3"/>
  <c r="K6" i="3"/>
  <c r="I6" i="3"/>
  <c r="G6" i="3"/>
  <c r="E6" i="3"/>
  <c r="C6" i="3"/>
  <c r="B6" i="3"/>
  <c r="J5" i="3"/>
  <c r="H5" i="3"/>
  <c r="F5" i="3"/>
  <c r="D5" i="3"/>
  <c r="B5" i="3"/>
  <c r="J4" i="3"/>
  <c r="H4" i="3"/>
  <c r="F4" i="3"/>
  <c r="D4" i="3"/>
  <c r="B4" i="3"/>
  <c r="J3" i="3"/>
  <c r="H3" i="3"/>
  <c r="G3" i="3"/>
  <c r="E3" i="3"/>
  <c r="C3" i="3"/>
  <c r="B3" i="3"/>
  <c r="B35" i="3"/>
  <c r="E34" i="3"/>
  <c r="H33" i="3"/>
  <c r="K32" i="3"/>
  <c r="H32" i="3"/>
  <c r="C32" i="3"/>
  <c r="F31" i="3"/>
  <c r="I30" i="3"/>
  <c r="C30" i="3"/>
  <c r="J29" i="3"/>
  <c r="C29" i="3"/>
  <c r="G28" i="3"/>
  <c r="I27" i="3"/>
  <c r="J26" i="3"/>
  <c r="J25" i="3"/>
  <c r="G25" i="3"/>
  <c r="G24" i="3"/>
  <c r="G23" i="3"/>
  <c r="H22" i="3"/>
  <c r="D22" i="3"/>
  <c r="E21" i="3"/>
  <c r="J28" i="5" l="1"/>
  <c r="K28" i="5"/>
  <c r="L28" i="5"/>
  <c r="M28" i="5"/>
  <c r="N28" i="5"/>
  <c r="J29" i="5"/>
  <c r="K29" i="5"/>
  <c r="L29" i="5"/>
  <c r="M29" i="5"/>
  <c r="N29" i="5"/>
  <c r="J30" i="5"/>
  <c r="K30" i="5"/>
  <c r="L30" i="5"/>
  <c r="M30" i="5"/>
  <c r="N30" i="5"/>
  <c r="J31" i="5"/>
  <c r="K31" i="5"/>
  <c r="L31" i="5"/>
  <c r="M31" i="5"/>
  <c r="N31" i="5"/>
  <c r="J32" i="5"/>
  <c r="K32" i="5"/>
  <c r="L32" i="5"/>
  <c r="M32" i="5"/>
  <c r="N32" i="5"/>
  <c r="J33" i="5"/>
  <c r="K33" i="5"/>
  <c r="L33" i="5"/>
  <c r="J21" i="5"/>
  <c r="L21" i="5"/>
  <c r="N21" i="5"/>
  <c r="J22" i="5"/>
  <c r="L22" i="5"/>
  <c r="N22" i="5"/>
  <c r="J23" i="5"/>
  <c r="L23" i="5"/>
  <c r="N23" i="5"/>
  <c r="J24" i="5"/>
  <c r="L24" i="5"/>
  <c r="N24" i="5"/>
  <c r="J25" i="5"/>
  <c r="L25" i="5"/>
  <c r="N25" i="5"/>
  <c r="J26" i="5"/>
  <c r="K26" i="5"/>
  <c r="L26" i="5"/>
  <c r="M26" i="5"/>
  <c r="N26" i="5"/>
  <c r="J27" i="5"/>
  <c r="K27" i="5"/>
  <c r="L27" i="5"/>
  <c r="M27" i="5"/>
  <c r="N27" i="5"/>
  <c r="E29" i="5"/>
  <c r="D29" i="5"/>
  <c r="C29" i="5"/>
  <c r="G28" i="5"/>
  <c r="F28" i="5"/>
  <c r="E28" i="5"/>
  <c r="D28" i="5"/>
  <c r="C28" i="5"/>
  <c r="G27" i="5"/>
  <c r="F27" i="5"/>
  <c r="E27" i="5"/>
  <c r="D27" i="5"/>
  <c r="C27" i="5"/>
  <c r="F26" i="5"/>
  <c r="E26" i="5"/>
  <c r="F25" i="5"/>
  <c r="C26" i="5"/>
  <c r="E21" i="5"/>
  <c r="F21" i="5"/>
  <c r="C22" i="5"/>
  <c r="E22" i="5"/>
  <c r="G22" i="5"/>
  <c r="C23" i="5"/>
  <c r="E23" i="5"/>
  <c r="G23" i="5"/>
  <c r="C24" i="5"/>
  <c r="E24" i="5"/>
  <c r="G24" i="5"/>
  <c r="G31" i="5"/>
  <c r="C25" i="5"/>
  <c r="E25" i="5"/>
  <c r="G25" i="5"/>
  <c r="D26" i="5"/>
  <c r="G26" i="5"/>
  <c r="C21" i="5"/>
  <c r="D21" i="5"/>
  <c r="G21" i="5"/>
  <c r="D22" i="5"/>
  <c r="F22" i="5"/>
  <c r="D23" i="5"/>
  <c r="F23" i="5"/>
  <c r="D24" i="5"/>
  <c r="F24" i="5"/>
  <c r="D25" i="5"/>
  <c r="G34" i="5"/>
  <c r="F34" i="5"/>
  <c r="E34" i="5"/>
  <c r="D34" i="5"/>
  <c r="C34" i="5"/>
  <c r="G33" i="5"/>
  <c r="F33" i="5"/>
  <c r="E33" i="5"/>
  <c r="D33" i="5"/>
  <c r="C33" i="5"/>
  <c r="G32" i="5"/>
  <c r="F32" i="5"/>
  <c r="E32" i="5"/>
  <c r="D32" i="5"/>
  <c r="C32" i="5"/>
  <c r="F31" i="5"/>
  <c r="E31" i="5"/>
  <c r="D31" i="5"/>
  <c r="C31" i="5"/>
  <c r="G30" i="5"/>
  <c r="F30" i="5"/>
  <c r="E30" i="5"/>
  <c r="D30" i="5"/>
  <c r="C30" i="5"/>
  <c r="G29" i="5"/>
  <c r="F29" i="5"/>
  <c r="J13" i="5"/>
  <c r="K13" i="5"/>
  <c r="L13" i="5"/>
  <c r="M13" i="5"/>
  <c r="N13" i="5"/>
  <c r="J14" i="5"/>
  <c r="K14" i="5"/>
  <c r="L14" i="5"/>
  <c r="N14" i="5"/>
  <c r="J15" i="5"/>
  <c r="L15" i="5"/>
  <c r="N15" i="5"/>
  <c r="J16" i="5"/>
  <c r="L16" i="5"/>
  <c r="N16" i="5"/>
  <c r="L17" i="5"/>
  <c r="N17" i="5"/>
  <c r="J4" i="5"/>
  <c r="K4" i="5"/>
  <c r="M4" i="5"/>
  <c r="K5" i="5"/>
  <c r="M5" i="5"/>
  <c r="K6" i="5"/>
  <c r="M6" i="5"/>
  <c r="K7" i="5"/>
  <c r="M7" i="5"/>
  <c r="K8" i="5"/>
  <c r="M8" i="5"/>
  <c r="K9" i="5"/>
  <c r="M9" i="5"/>
  <c r="K10" i="5"/>
  <c r="M10" i="5"/>
  <c r="K11" i="5"/>
  <c r="M11" i="5"/>
  <c r="K12" i="5"/>
  <c r="M12" i="5"/>
  <c r="M14" i="5"/>
  <c r="K15" i="5"/>
  <c r="M15" i="5"/>
  <c r="K16" i="5"/>
  <c r="M16" i="5"/>
  <c r="K17" i="5"/>
  <c r="M17" i="5"/>
  <c r="J17" i="5"/>
  <c r="L4" i="5"/>
  <c r="N4" i="5"/>
  <c r="J5" i="5"/>
  <c r="L5" i="5"/>
  <c r="N5" i="5"/>
  <c r="J6" i="5"/>
  <c r="L6" i="5"/>
  <c r="N6" i="5"/>
  <c r="J7" i="5"/>
  <c r="L7" i="5"/>
  <c r="N7" i="5"/>
  <c r="J8" i="5"/>
  <c r="L8" i="5"/>
  <c r="N8" i="5"/>
  <c r="J9" i="5"/>
  <c r="L9" i="5"/>
  <c r="N9" i="5"/>
  <c r="J10" i="5"/>
  <c r="L10" i="5"/>
  <c r="N10" i="5"/>
  <c r="J11" i="5"/>
  <c r="L11" i="5"/>
  <c r="N11" i="5"/>
  <c r="J12" i="5"/>
  <c r="L12" i="5"/>
  <c r="N12" i="5"/>
  <c r="M33" i="5"/>
  <c r="N33" i="5"/>
  <c r="J34" i="5"/>
  <c r="K34" i="5"/>
  <c r="L34" i="5"/>
  <c r="M34" i="5"/>
  <c r="N34" i="5"/>
  <c r="K21" i="5"/>
  <c r="M21" i="5"/>
  <c r="K22" i="5"/>
  <c r="M22" i="5"/>
  <c r="K23" i="5"/>
  <c r="M23" i="5"/>
  <c r="K24" i="5"/>
  <c r="M24" i="5"/>
  <c r="K25" i="5"/>
  <c r="M25" i="5"/>
  <c r="D4" i="5"/>
  <c r="F4" i="5"/>
  <c r="C5" i="5"/>
  <c r="E5" i="5"/>
  <c r="G5" i="5"/>
  <c r="C6" i="5"/>
  <c r="E6" i="5"/>
  <c r="G6" i="5"/>
  <c r="C7" i="5"/>
  <c r="E7" i="5"/>
  <c r="G7" i="5"/>
  <c r="E8" i="5"/>
  <c r="G8" i="5"/>
  <c r="C9" i="5"/>
  <c r="E9" i="5"/>
  <c r="G9" i="5"/>
  <c r="C10" i="5"/>
  <c r="E10" i="5"/>
  <c r="G10" i="5"/>
  <c r="C11" i="5"/>
  <c r="E11" i="5"/>
  <c r="G11" i="5"/>
  <c r="C12" i="5"/>
  <c r="E12" i="5"/>
  <c r="G12" i="5"/>
  <c r="C13" i="5"/>
  <c r="F5" i="5"/>
  <c r="D17" i="5"/>
  <c r="D5" i="5"/>
  <c r="G4" i="5"/>
  <c r="E4" i="5"/>
  <c r="C4" i="5"/>
  <c r="G17" i="5"/>
  <c r="E17" i="5"/>
  <c r="C17" i="5"/>
  <c r="G16" i="5"/>
  <c r="E16" i="5"/>
  <c r="C16" i="5"/>
  <c r="G15" i="5"/>
  <c r="E15" i="5"/>
  <c r="C15" i="5"/>
  <c r="C8" i="5"/>
  <c r="G13" i="5"/>
  <c r="E13" i="5"/>
  <c r="F17" i="5"/>
  <c r="F16" i="5"/>
  <c r="D16" i="5"/>
  <c r="F15" i="5"/>
  <c r="D15" i="5"/>
  <c r="G14" i="5"/>
  <c r="F14" i="5"/>
  <c r="E14" i="5"/>
  <c r="D14" i="5"/>
  <c r="C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</calcChain>
</file>

<file path=xl/sharedStrings.xml><?xml version="1.0" encoding="utf-8"?>
<sst xmlns="http://schemas.openxmlformats.org/spreadsheetml/2006/main" count="532" uniqueCount="123">
  <si>
    <t>チーム数</t>
  </si>
  <si>
    <t>チーム名</t>
  </si>
  <si>
    <t>パート</t>
  </si>
  <si>
    <t>勝</t>
  </si>
  <si>
    <t>分</t>
  </si>
  <si>
    <t>負</t>
  </si>
  <si>
    <t>勝点</t>
  </si>
  <si>
    <t>得点</t>
  </si>
  <si>
    <t>失点</t>
  </si>
  <si>
    <t>得失点</t>
  </si>
  <si>
    <t>ソートキー</t>
  </si>
  <si>
    <r>
      <rPr>
        <sz val="10"/>
        <color rgb="FF333333"/>
        <rFont val="メイリオ"/>
        <family val="3"/>
        <charset val="128"/>
      </rPr>
      <t>A</t>
    </r>
    <r>
      <rPr>
        <sz val="10"/>
        <color rgb="FF333333"/>
        <rFont val="Noto Sans CJK SC"/>
        <family val="2"/>
      </rPr>
      <t>パート</t>
    </r>
  </si>
  <si>
    <t>チームA-2</t>
  </si>
  <si>
    <t>チームA-4</t>
  </si>
  <si>
    <r>
      <rPr>
        <sz val="10"/>
        <color rgb="FF333333"/>
        <rFont val="メイリオ"/>
        <family val="3"/>
        <charset val="128"/>
      </rPr>
      <t>B</t>
    </r>
    <r>
      <rPr>
        <sz val="10"/>
        <color rgb="FF333333"/>
        <rFont val="Noto Sans CJK SC"/>
        <family val="2"/>
      </rPr>
      <t>パート</t>
    </r>
  </si>
  <si>
    <t>チームB-2</t>
  </si>
  <si>
    <t>チームB-4</t>
  </si>
  <si>
    <t>チームC-1</t>
  </si>
  <si>
    <r>
      <rPr>
        <sz val="10"/>
        <color rgb="FF333333"/>
        <rFont val="メイリオ"/>
        <family val="3"/>
        <charset val="128"/>
      </rPr>
      <t>C</t>
    </r>
    <r>
      <rPr>
        <sz val="10"/>
        <color rgb="FF333333"/>
        <rFont val="Noto Sans CJK SC"/>
        <family val="2"/>
      </rPr>
      <t>パート</t>
    </r>
  </si>
  <si>
    <t>チームC-2</t>
  </si>
  <si>
    <t>チームC-4</t>
  </si>
  <si>
    <t>チームD-1</t>
  </si>
  <si>
    <r>
      <rPr>
        <sz val="10"/>
        <color rgb="FF333333"/>
        <rFont val="メイリオ"/>
        <family val="3"/>
        <charset val="128"/>
      </rPr>
      <t>D</t>
    </r>
    <r>
      <rPr>
        <sz val="10"/>
        <color rgb="FF333333"/>
        <rFont val="Noto Sans CJK SC"/>
        <family val="2"/>
      </rPr>
      <t>パート</t>
    </r>
  </si>
  <si>
    <t>チームD-2</t>
  </si>
  <si>
    <t>チームD-4</t>
  </si>
  <si>
    <t>チームE-1</t>
  </si>
  <si>
    <r>
      <rPr>
        <sz val="10"/>
        <color rgb="FF333333"/>
        <rFont val="メイリオ"/>
        <family val="3"/>
        <charset val="128"/>
      </rPr>
      <t>E</t>
    </r>
    <r>
      <rPr>
        <sz val="10"/>
        <color rgb="FF333333"/>
        <rFont val="Noto Sans CJK SC"/>
        <family val="2"/>
      </rPr>
      <t>パート</t>
    </r>
  </si>
  <si>
    <t>チームE-2</t>
  </si>
  <si>
    <t>チームE-4</t>
  </si>
  <si>
    <t>チームF-1</t>
  </si>
  <si>
    <r>
      <rPr>
        <sz val="10"/>
        <color rgb="FF333333"/>
        <rFont val="メイリオ"/>
        <family val="3"/>
        <charset val="128"/>
      </rPr>
      <t>F</t>
    </r>
    <r>
      <rPr>
        <sz val="10"/>
        <color rgb="FF333333"/>
        <rFont val="Noto Sans CJK SC"/>
        <family val="2"/>
      </rPr>
      <t>パート</t>
    </r>
  </si>
  <si>
    <t>チームF-2</t>
  </si>
  <si>
    <t>チームF-4</t>
  </si>
  <si>
    <t>チームG-1</t>
  </si>
  <si>
    <r>
      <rPr>
        <sz val="10"/>
        <color rgb="FF333333"/>
        <rFont val="メイリオ"/>
        <family val="3"/>
        <charset val="128"/>
      </rPr>
      <t>G</t>
    </r>
    <r>
      <rPr>
        <sz val="10"/>
        <color rgb="FF333333"/>
        <rFont val="Noto Sans CJK SC"/>
        <family val="2"/>
      </rPr>
      <t>パート</t>
    </r>
  </si>
  <si>
    <t>チームG-2</t>
  </si>
  <si>
    <t>チームG-4</t>
  </si>
  <si>
    <t>チームH-1</t>
  </si>
  <si>
    <r>
      <rPr>
        <sz val="10"/>
        <color rgb="FF333333"/>
        <rFont val="メイリオ"/>
        <family val="3"/>
        <charset val="128"/>
      </rPr>
      <t>H</t>
    </r>
    <r>
      <rPr>
        <sz val="10"/>
        <color rgb="FF333333"/>
        <rFont val="Noto Sans CJK SC"/>
        <family val="2"/>
      </rPr>
      <t>パート</t>
    </r>
  </si>
  <si>
    <t>チームH-2</t>
  </si>
  <si>
    <t>チームH-4</t>
  </si>
  <si>
    <t>チームI-1</t>
  </si>
  <si>
    <r>
      <rPr>
        <sz val="10"/>
        <color rgb="FF333333"/>
        <rFont val="メイリオ"/>
        <family val="3"/>
        <charset val="128"/>
      </rPr>
      <t>I</t>
    </r>
    <r>
      <rPr>
        <sz val="10"/>
        <color rgb="FF333333"/>
        <rFont val="Noto Sans CJK SC"/>
        <family val="2"/>
      </rPr>
      <t>パート</t>
    </r>
  </si>
  <si>
    <t>チームI-2</t>
  </si>
  <si>
    <t>チームI-4</t>
  </si>
  <si>
    <t>チームJ-1</t>
  </si>
  <si>
    <r>
      <rPr>
        <sz val="10"/>
        <color rgb="FF333333"/>
        <rFont val="メイリオ"/>
        <family val="3"/>
        <charset val="128"/>
      </rPr>
      <t>J</t>
    </r>
    <r>
      <rPr>
        <sz val="10"/>
        <color rgb="FF333333"/>
        <rFont val="Noto Sans CJK SC"/>
        <family val="2"/>
      </rPr>
      <t>パート</t>
    </r>
  </si>
  <si>
    <t>チームJ-2</t>
  </si>
  <si>
    <t>チームJ-4</t>
  </si>
  <si>
    <t>チームK-1</t>
  </si>
  <si>
    <r>
      <rPr>
        <sz val="10"/>
        <color rgb="FF333333"/>
        <rFont val="メイリオ"/>
        <family val="3"/>
        <charset val="128"/>
      </rPr>
      <t>K</t>
    </r>
    <r>
      <rPr>
        <sz val="10"/>
        <color rgb="FF333333"/>
        <rFont val="Noto Sans CJK SC"/>
        <family val="2"/>
      </rPr>
      <t>パート</t>
    </r>
  </si>
  <si>
    <t>チームK-2</t>
  </si>
  <si>
    <t>チームK-4</t>
  </si>
  <si>
    <t>チームL-1</t>
  </si>
  <si>
    <r>
      <rPr>
        <sz val="10"/>
        <color rgb="FF333333"/>
        <rFont val="メイリオ"/>
        <family val="3"/>
        <charset val="128"/>
      </rPr>
      <t>L</t>
    </r>
    <r>
      <rPr>
        <sz val="10"/>
        <color rgb="FF333333"/>
        <rFont val="Noto Sans CJK SC"/>
        <family val="2"/>
      </rPr>
      <t>パート</t>
    </r>
  </si>
  <si>
    <t>チームL-2</t>
  </si>
  <si>
    <t>チームL-4</t>
  </si>
  <si>
    <t>チームM-1</t>
  </si>
  <si>
    <r>
      <rPr>
        <sz val="10"/>
        <color rgb="FF333333"/>
        <rFont val="メイリオ"/>
        <family val="3"/>
        <charset val="128"/>
      </rPr>
      <t>M</t>
    </r>
    <r>
      <rPr>
        <sz val="10"/>
        <color rgb="FF333333"/>
        <rFont val="Noto Sans CJK SC"/>
        <family val="2"/>
      </rPr>
      <t>パート</t>
    </r>
  </si>
  <si>
    <t>チームM-2</t>
  </si>
  <si>
    <t>チームM-4</t>
  </si>
  <si>
    <t>チームN-1</t>
  </si>
  <si>
    <r>
      <rPr>
        <sz val="10"/>
        <color rgb="FF333333"/>
        <rFont val="メイリオ"/>
        <family val="3"/>
        <charset val="128"/>
      </rPr>
      <t>N</t>
    </r>
    <r>
      <rPr>
        <sz val="10"/>
        <color rgb="FF333333"/>
        <rFont val="Noto Sans CJK SC"/>
        <family val="2"/>
      </rPr>
      <t>パート</t>
    </r>
  </si>
  <si>
    <t>チームN-2</t>
  </si>
  <si>
    <t>チームN-4</t>
  </si>
  <si>
    <r>
      <rPr>
        <b/>
        <sz val="9"/>
        <color rgb="FF1B3A6B"/>
        <rFont val="メイリオ"/>
        <family val="3"/>
        <charset val="128"/>
      </rPr>
      <t>3</t>
    </r>
    <r>
      <rPr>
        <b/>
        <sz val="9"/>
        <color rgb="FF1B3A6B"/>
        <rFont val="Noto Sans CJK SC"/>
        <family val="2"/>
      </rPr>
      <t>点〇</t>
    </r>
  </si>
  <si>
    <r>
      <rPr>
        <b/>
        <sz val="9"/>
        <color rgb="FF1B3A6B"/>
        <rFont val="メイリオ"/>
        <family val="3"/>
        <charset val="128"/>
      </rPr>
      <t>1</t>
    </r>
    <r>
      <rPr>
        <b/>
        <sz val="9"/>
        <color rgb="FF1B3A6B"/>
        <rFont val="Noto Sans CJK SC"/>
        <family val="2"/>
      </rPr>
      <t>点▲</t>
    </r>
  </si>
  <si>
    <r>
      <rPr>
        <b/>
        <sz val="9"/>
        <color rgb="FF1B3A6B"/>
        <rFont val="メイリオ"/>
        <family val="3"/>
        <charset val="128"/>
      </rPr>
      <t>0</t>
    </r>
    <r>
      <rPr>
        <b/>
        <sz val="9"/>
        <color rgb="FF1B3A6B"/>
        <rFont val="Noto Sans CJK SC"/>
        <family val="2"/>
      </rPr>
      <t>点●</t>
    </r>
  </si>
  <si>
    <r>
      <rPr>
        <b/>
        <sz val="10"/>
        <color rgb="FFFFFFFF"/>
        <rFont val="メイリオ"/>
        <family val="3"/>
        <charset val="128"/>
      </rPr>
      <t>A</t>
    </r>
    <r>
      <rPr>
        <b/>
        <sz val="10"/>
        <color rgb="FFFFFFFF"/>
        <rFont val="Noto Sans CJK SC"/>
        <family val="2"/>
      </rPr>
      <t>パート</t>
    </r>
  </si>
  <si>
    <t>順位</t>
  </si>
  <si>
    <t>-</t>
  </si>
  <si>
    <r>
      <rPr>
        <b/>
        <sz val="10"/>
        <color rgb="FFFFFFFF"/>
        <rFont val="メイリオ"/>
        <family val="3"/>
        <charset val="128"/>
      </rPr>
      <t>B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</si>
  <si>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C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</si>
  <si>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E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</si>
  <si>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F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</si>
  <si>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H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</si>
  <si>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I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</si>
  <si>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J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</si>
  <si>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K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</si>
  <si>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L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</si>
  <si>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M</t>
    </r>
    <r>
      <rPr>
        <b/>
        <sz val="10"/>
        <color rgb="FFFFFFFF"/>
        <rFont val="Noto Sans CJK SC"/>
        <family val="2"/>
      </rPr>
      <t>パート</t>
    </r>
  </si>
  <si>
    <r>
      <rPr>
        <b/>
        <sz val="10"/>
        <color rgb="FFFFFFFF"/>
        <rFont val="メイリオ"/>
        <family val="3"/>
        <charset val="128"/>
      </rPr>
      <t>N</t>
    </r>
    <r>
      <rPr>
        <b/>
        <sz val="10"/>
        <color rgb="FFFFFFFF"/>
        <rFont val="Noto Sans CJK SC"/>
        <family val="2"/>
      </rPr>
      <t>パート</t>
    </r>
  </si>
  <si>
    <r>
      <rPr>
        <sz val="9"/>
        <color rgb="FF1B5E20"/>
        <rFont val="メイリオ"/>
        <family val="3"/>
        <charset val="128"/>
      </rPr>
      <t>3</t>
    </r>
    <r>
      <rPr>
        <sz val="9"/>
        <color rgb="FF1B5E20"/>
        <rFont val="Noto Sans CJK SC"/>
        <family val="2"/>
      </rPr>
      <t>点〇</t>
    </r>
  </si>
  <si>
    <r>
      <rPr>
        <sz val="9"/>
        <color rgb="FF1B5E20"/>
        <rFont val="メイリオ"/>
        <family val="3"/>
        <charset val="128"/>
      </rPr>
      <t>1</t>
    </r>
    <r>
      <rPr>
        <sz val="9"/>
        <color rgb="FF1B5E20"/>
        <rFont val="Noto Sans CJK SC"/>
        <family val="2"/>
      </rPr>
      <t>点▲</t>
    </r>
  </si>
  <si>
    <r>
      <rPr>
        <sz val="9"/>
        <color rgb="FF1B5E20"/>
        <rFont val="メイリオ"/>
        <family val="3"/>
        <charset val="128"/>
      </rPr>
      <t>0</t>
    </r>
    <r>
      <rPr>
        <sz val="9"/>
        <color rgb="FF1B5E20"/>
        <rFont val="Noto Sans CJK SC"/>
        <family val="2"/>
      </rPr>
      <t>点●</t>
    </r>
  </si>
  <si>
    <r>
      <rPr>
        <b/>
        <sz val="11"/>
        <color theme="1"/>
        <rFont val="メイリオ"/>
        <family val="3"/>
        <charset val="128"/>
      </rPr>
      <t>A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</si>
  <si>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C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</si>
  <si>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D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</si>
  <si>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E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</si>
  <si>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F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</si>
  <si>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G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</si>
  <si>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H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</si>
  <si>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I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</si>
  <si>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J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</si>
  <si>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K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</si>
  <si>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L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</si>
  <si>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M</t>
    </r>
    <r>
      <rPr>
        <b/>
        <sz val="11"/>
        <color theme="1"/>
        <rFont val="Noto Sans CJK SC"/>
        <family val="2"/>
      </rPr>
      <t>パート</t>
    </r>
  </si>
  <si>
    <r>
      <rPr>
        <b/>
        <sz val="11"/>
        <color theme="1"/>
        <rFont val="メイリオ"/>
        <family val="3"/>
        <charset val="128"/>
      </rPr>
      <t>N</t>
    </r>
    <r>
      <rPr>
        <b/>
        <sz val="11"/>
        <color theme="1"/>
        <rFont val="Noto Sans CJK SC"/>
        <family val="2"/>
      </rPr>
      <t>パート</t>
    </r>
  </si>
  <si>
    <t>１日目結果</t>
  </si>
  <si>
    <r>
      <rPr>
        <b/>
        <sz val="11"/>
        <color rgb="FFFFFFFF"/>
        <rFont val="メイリオ"/>
        <family val="3"/>
        <charset val="128"/>
      </rPr>
      <t>1</t>
    </r>
    <r>
      <rPr>
        <b/>
        <sz val="11"/>
        <color rgb="FFFFFFFF"/>
        <rFont val="Noto Sans CJK SC"/>
        <family val="2"/>
      </rPr>
      <t>位パート</t>
    </r>
  </si>
  <si>
    <r>
      <rPr>
        <b/>
        <sz val="11"/>
        <color rgb="FFFFFFFF"/>
        <rFont val="メイリオ"/>
        <family val="3"/>
        <charset val="128"/>
      </rPr>
      <t>2</t>
    </r>
    <r>
      <rPr>
        <b/>
        <sz val="11"/>
        <color rgb="FFFFFFFF"/>
        <rFont val="Noto Sans CJK SC"/>
        <family val="2"/>
      </rPr>
      <t>位パート</t>
    </r>
  </si>
  <si>
    <r>
      <rPr>
        <sz val="10"/>
        <color rgb="FF333333"/>
        <rFont val="メイリオ"/>
        <family val="3"/>
        <charset val="128"/>
      </rPr>
      <t>3</t>
    </r>
    <r>
      <rPr>
        <sz val="10"/>
        <color rgb="FF333333"/>
        <rFont val="Noto Sans CJK SC"/>
        <family val="2"/>
      </rPr>
      <t>位パート</t>
    </r>
  </si>
  <si>
    <r>
      <rPr>
        <sz val="10"/>
        <color rgb="FF333333"/>
        <rFont val="メイリオ"/>
        <family val="3"/>
        <charset val="128"/>
      </rPr>
      <t>4</t>
    </r>
    <r>
      <rPr>
        <sz val="10"/>
        <color rgb="FF333333"/>
        <rFont val="Noto Sans CJK SC"/>
        <family val="2"/>
      </rPr>
      <t>位パート</t>
    </r>
  </si>
  <si>
    <r>
      <rPr>
        <sz val="10"/>
        <color rgb="FF333333"/>
        <rFont val="ＭＳ ゴシック"/>
        <family val="3"/>
        <charset val="128"/>
      </rPr>
      <t>チーム</t>
    </r>
    <r>
      <rPr>
        <sz val="10"/>
        <color rgb="FF333333"/>
        <rFont val="Arial"/>
        <family val="2"/>
      </rPr>
      <t>A-3</t>
    </r>
    <phoneticPr fontId="31"/>
  </si>
  <si>
    <r>
      <t>D</t>
    </r>
    <r>
      <rPr>
        <b/>
        <sz val="10"/>
        <color rgb="FFFFFFFF"/>
        <rFont val="ＭＳ ゴシック"/>
        <family val="3"/>
        <charset val="128"/>
      </rPr>
      <t>パート</t>
    </r>
    <phoneticPr fontId="31"/>
  </si>
  <si>
    <r>
      <t>B</t>
    </r>
    <r>
      <rPr>
        <sz val="10"/>
        <color rgb="FF333333"/>
        <rFont val="ＭＳ ゴシック"/>
        <family val="3"/>
        <charset val="128"/>
      </rPr>
      <t>パート</t>
    </r>
    <phoneticPr fontId="31"/>
  </si>
  <si>
    <r>
      <rPr>
        <sz val="10"/>
        <color rgb="FF333333"/>
        <rFont val="ＭＳ ゴシック"/>
        <family val="3"/>
        <charset val="128"/>
      </rPr>
      <t>チーム</t>
    </r>
    <r>
      <rPr>
        <sz val="10"/>
        <color rgb="FF333333"/>
        <rFont val="Arial"/>
        <family val="2"/>
      </rPr>
      <t>B-1</t>
    </r>
    <phoneticPr fontId="31"/>
  </si>
  <si>
    <t>チームB-3</t>
    <phoneticPr fontId="31"/>
  </si>
  <si>
    <t>チームC-3</t>
    <phoneticPr fontId="31"/>
  </si>
  <si>
    <t>チームD-3</t>
    <phoneticPr fontId="31"/>
  </si>
  <si>
    <t>チームE-3</t>
    <phoneticPr fontId="31"/>
  </si>
  <si>
    <t>チームF-3</t>
    <phoneticPr fontId="31"/>
  </si>
  <si>
    <t>チームG-3</t>
    <phoneticPr fontId="31"/>
  </si>
  <si>
    <t>チームH-3</t>
    <phoneticPr fontId="31"/>
  </si>
  <si>
    <t>チームI-3</t>
    <phoneticPr fontId="31"/>
  </si>
  <si>
    <t>チームJ-3</t>
    <phoneticPr fontId="31"/>
  </si>
  <si>
    <t>チームK-3</t>
    <phoneticPr fontId="31"/>
  </si>
  <si>
    <t>チームL-3</t>
    <phoneticPr fontId="31"/>
  </si>
  <si>
    <t>チームM-3</t>
    <phoneticPr fontId="31"/>
  </si>
  <si>
    <t>チームN-3</t>
    <phoneticPr fontId="31"/>
  </si>
  <si>
    <r>
      <t>G</t>
    </r>
    <r>
      <rPr>
        <b/>
        <sz val="10"/>
        <color rgb="FFFFFFFF"/>
        <rFont val="ＭＳ ゴシック"/>
        <family val="3"/>
        <charset val="128"/>
      </rPr>
      <t>パート</t>
    </r>
    <phoneticPr fontId="31"/>
  </si>
  <si>
    <r>
      <rPr>
        <sz val="10"/>
        <color rgb="FF333333"/>
        <rFont val="ＭＳ ゴシック"/>
        <family val="3"/>
        <charset val="128"/>
      </rPr>
      <t>チーム</t>
    </r>
    <r>
      <rPr>
        <sz val="10"/>
        <color rgb="FF333333"/>
        <rFont val="Arial"/>
        <family val="2"/>
      </rPr>
      <t>A-</t>
    </r>
    <r>
      <rPr>
        <sz val="10"/>
        <color rgb="FF333333"/>
        <rFont val="ＭＳ ゴシック"/>
        <family val="3"/>
        <charset val="128"/>
      </rPr>
      <t>１</t>
    </r>
    <phoneticPr fontId="31"/>
  </si>
  <si>
    <t>Bパート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</si>
</sst>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\ h:mm"/>
  </numFmts>
  <fonts count="35">
    <font>
      <sz val="11"/>
      <color theme="1"/>
      <name val="游ゴシック"/>
      <family val="2"/>
      <charset val="128"/>
    </font>
    <font>
      <b/>
      <sz val="10"/>
      <color rgb="FFFFFFFF"/>
      <name val="Noto Sans CJK SC"/>
      <family val="2"/>
      <charset val="1"/>
    </font>
    <font>
      <sz val="11"/>
      <color theme="1"/>
      <name val="Noto Sans CJK SC"/>
      <family val="2"/>
      <charset val="1"/>
    </font>
    <font>
      <sz val="10"/>
      <color rgb="FF333333"/>
      <name val="Noto Sans CJK SC"/>
      <family val="2"/>
      <charset val="1"/>
    </font>
    <font>
      <sz val="10"/>
      <color rgb="FF333333"/>
      <name val="メイリオ"/>
      <family val="3"/>
      <charset val="128"/>
    </font>
    <font>
      <sz val="10"/>
      <color rgb="FF333333"/>
      <name val="Noto Sans CJK SC"/>
      <family val="2"/>
    </font>
    <font>
      <sz val="10"/>
      <color rgb="FF333333"/>
      <name val="ＭＳ ゴシック"/>
      <family val="3"/>
      <charset val="128"/>
    </font>
    <font>
      <b/>
      <sz val="9"/>
      <color rgb="FF1B3A6B"/>
      <name val="メイリオ"/>
      <family val="3"/>
      <charset val="128"/>
    </font>
    <font>
      <b/>
      <sz val="9"/>
      <color rgb="FF1B3A6B"/>
      <name val="Noto Sans CJK SC"/>
      <family val="2"/>
    </font>
    <font>
      <b/>
      <sz val="10"/>
      <color rgb="FFFFFFFF"/>
      <name val="メイリオ"/>
      <family val="3"/>
      <charset val="128"/>
    </font>
    <font>
      <b/>
      <sz val="10"/>
      <color rgb="FFFFFFFF"/>
      <name val="Noto Sans CJK SC"/>
      <family val="2"/>
    </font>
    <font>
      <b/>
      <sz val="10"/>
      <color theme="1"/>
      <name val="Noto Sans CJK SC"/>
      <family val="2"/>
      <charset val="1"/>
    </font>
    <font>
      <b/>
      <sz val="11"/>
      <color theme="1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</font>
    <font>
      <sz val="9"/>
      <color rgb="FF1B5E20"/>
      <name val="メイリオ"/>
      <family val="3"/>
      <charset val="128"/>
    </font>
    <font>
      <sz val="9"/>
      <color rgb="FF1B5E20"/>
      <name val="Noto Sans CJK SC"/>
      <family val="2"/>
    </font>
    <font>
      <sz val="10"/>
      <color rgb="FF1B5E20"/>
      <name val="メイリオ"/>
      <family val="3"/>
      <charset val="128"/>
    </font>
    <font>
      <sz val="10"/>
      <color rgb="FF1B5E20"/>
      <name val="Noto Sans CJK SC"/>
      <family val="2"/>
      <charset val="1"/>
    </font>
    <font>
      <b/>
      <sz val="11"/>
      <color theme="1"/>
      <name val="メイリオ"/>
      <family val="3"/>
      <charset val="128"/>
    </font>
    <font>
      <b/>
      <sz val="11"/>
      <color theme="1"/>
      <name val="Noto Sans CJK SC"/>
      <family val="2"/>
    </font>
    <font>
      <b/>
      <sz val="9"/>
      <color rgb="FFFFFFFF"/>
      <name val="Noto Sans CJK SC"/>
      <family val="2"/>
      <charset val="1"/>
    </font>
    <font>
      <sz val="10"/>
      <color rgb="FF1B3A6B"/>
      <name val="メイリオ"/>
      <family val="3"/>
      <charset val="128"/>
    </font>
    <font>
      <b/>
      <sz val="10"/>
      <color rgb="FF1B3A6B"/>
      <name val="Noto Sans CJK SC"/>
      <family val="2"/>
      <charset val="1"/>
    </font>
    <font>
      <b/>
      <sz val="12"/>
      <color rgb="FF1B5E20"/>
      <name val="Noto Sans CJK SC"/>
      <family val="2"/>
      <charset val="1"/>
    </font>
    <font>
      <b/>
      <sz val="11"/>
      <color rgb="FFFFFFFF"/>
      <name val="メイリオ"/>
      <family val="3"/>
      <charset val="128"/>
    </font>
    <font>
      <b/>
      <sz val="11"/>
      <color rgb="FFFFFFFF"/>
      <name val="Noto Sans CJK SC"/>
      <family val="2"/>
    </font>
    <font>
      <b/>
      <sz val="10"/>
      <color rgb="FF1B5E20"/>
      <name val="Noto Sans CJK SC"/>
      <family val="2"/>
      <charset val="1"/>
    </font>
    <font>
      <sz val="6"/>
      <name val="游ゴシック"/>
      <family val="2"/>
      <charset val="128"/>
    </font>
    <font>
      <sz val="10"/>
      <color rgb="FF333333"/>
      <name val="Arial"/>
      <family val="2"/>
    </font>
    <font>
      <sz val="10"/>
      <color rgb="FF333333"/>
      <name val="Noto Sans CJK SC"/>
      <family val="3"/>
      <charset val="128"/>
    </font>
    <font>
      <b/>
      <sz val="10"/>
      <color rgb="FFFFFFFF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4A4A4A"/>
        <bgColor rgb="FF333333"/>
      </patternFill>
    </fill>
    <fill>
      <patternFill patternType="solid">
        <fgColor rgb="FFF5F5F5"/>
        <bgColor rgb="FFEEF4FF"/>
      </patternFill>
    </fill>
    <fill>
      <patternFill patternType="solid">
        <fgColor rgb="FFFFFFFF"/>
        <bgColor rgb="FFF5F5F5"/>
      </patternFill>
    </fill>
    <fill>
      <patternFill patternType="solid">
        <fgColor rgb="FFEEF4FF"/>
        <bgColor rgb="FFF5F5F5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7" tint="0.59978026673177287"/>
        <bgColor rgb="FFFFC7CE"/>
      </patternFill>
    </fill>
    <fill>
      <patternFill patternType="solid">
        <fgColor rgb="FFD9D9D9"/>
        <bgColor rgb="FFE8F5E9"/>
      </patternFill>
    </fill>
    <fill>
      <patternFill patternType="solid">
        <fgColor rgb="FFE8F5E9"/>
        <bgColor rgb="FFEEF4FF"/>
      </patternFill>
    </fill>
    <fill>
      <patternFill patternType="solid">
        <fgColor rgb="FF1B5E20"/>
        <bgColor rgb="FF2E7D32"/>
      </patternFill>
    </fill>
    <fill>
      <patternFill patternType="solid">
        <fgColor rgb="FF2E5FA3"/>
        <bgColor rgb="FF3366FF"/>
      </patternFill>
    </fill>
    <fill>
      <patternFill patternType="solid">
        <fgColor rgb="FF2E7D32"/>
        <bgColor rgb="FF1B5E20"/>
      </patternFill>
    </fill>
  </fills>
  <borders count="24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BBBBB"/>
      </left>
      <right/>
      <top/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/>
      <diagonal/>
    </border>
    <border>
      <left style="thin">
        <color rgb="FFBBBBBB"/>
      </left>
      <right style="thin">
        <color auto="1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ck">
        <color rgb="FFFF0000"/>
      </left>
      <right style="thin">
        <color rgb="FFBBBBBB"/>
      </right>
      <top style="thick">
        <color rgb="FFFF0000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ck">
        <color rgb="FFFF0000"/>
      </top>
      <bottom style="thin">
        <color rgb="FFBBBBBB"/>
      </bottom>
      <diagonal/>
    </border>
    <border>
      <left style="thin">
        <color rgb="FFBBBBBB"/>
      </left>
      <right style="thick">
        <color rgb="FFFF0000"/>
      </right>
      <top style="thick">
        <color rgb="FFFF0000"/>
      </top>
      <bottom style="thin">
        <color rgb="FFBBBBBB"/>
      </bottom>
      <diagonal/>
    </border>
    <border>
      <left style="thick">
        <color rgb="FFFF0000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ck">
        <color rgb="FFFF0000"/>
      </right>
      <top style="thin">
        <color rgb="FFBBBBBB"/>
      </top>
      <bottom style="thin">
        <color rgb="FFBBBBBB"/>
      </bottom>
      <diagonal/>
    </border>
    <border>
      <left style="thick">
        <color rgb="FFFF0000"/>
      </left>
      <right style="thin">
        <color rgb="FFBBBBBB"/>
      </right>
      <top style="thin">
        <color rgb="FFBBBBBB"/>
      </top>
      <bottom style="thick">
        <color rgb="FFFF0000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ck">
        <color rgb="FFFF0000"/>
      </bottom>
      <diagonal/>
    </border>
    <border>
      <left style="thin">
        <color rgb="FFBBBBBB"/>
      </left>
      <right style="thick">
        <color rgb="FFFF0000"/>
      </right>
      <top style="thin">
        <color rgb="FFBBBBBB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6" borderId="2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0" fillId="0" borderId="0" xfId="0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0" xfId="0" applyAlignment="1">
      <alignment vertical="center" shrinkToFit="1"/>
    </xf>
    <xf numFmtId="0" fontId="0" fillId="0" borderId="0" xfId="0" applyAlignment="1">
      <alignment wrapText="1"/>
    </xf>
    <xf numFmtId="0" fontId="7" fillId="5" borderId="2" xfId="0" applyFont="1" applyFill="1" applyBorder="1" applyAlignment="1">
      <alignment horizontal="center" vertical="center" wrapText="1" shrinkToFit="1"/>
    </xf>
    <xf numFmtId="0" fontId="1" fillId="6" borderId="3" xfId="0" applyFont="1" applyFill="1" applyBorder="1" applyAlignment="1">
      <alignment horizontal="center" vertical="center" wrapText="1" shrinkToFit="1"/>
    </xf>
    <xf numFmtId="0" fontId="1" fillId="6" borderId="4" xfId="0" applyFont="1" applyFill="1" applyBorder="1" applyAlignment="1">
      <alignment horizontal="center" vertical="center" wrapText="1" shrinkToFit="1"/>
    </xf>
    <xf numFmtId="0" fontId="1" fillId="6" borderId="5" xfId="0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13" fillId="7" borderId="2" xfId="0" applyFont="1" applyFill="1" applyBorder="1" applyAlignment="1" applyProtection="1">
      <alignment horizontal="center" vertical="center" wrapText="1" shrinkToFit="1"/>
      <protection locked="0"/>
    </xf>
    <xf numFmtId="0" fontId="13" fillId="0" borderId="2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13" fillId="8" borderId="2" xfId="0" applyFont="1" applyFill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7" fillId="0" borderId="9" xfId="0" applyFont="1" applyBorder="1" applyAlignment="1">
      <alignment horizontal="center" vertical="center" wrapText="1" shrinkToFit="1"/>
    </xf>
    <xf numFmtId="0" fontId="18" fillId="9" borderId="9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center" vertical="center" wrapText="1" shrinkToFit="1"/>
    </xf>
    <xf numFmtId="0" fontId="25" fillId="4" borderId="1" xfId="0" applyFont="1" applyFill="1" applyBorder="1" applyAlignment="1">
      <alignment horizontal="center" vertical="center" wrapText="1" shrinkToFit="1"/>
    </xf>
    <xf numFmtId="0" fontId="26" fillId="4" borderId="1" xfId="0" applyFont="1" applyFill="1" applyBorder="1" applyAlignment="1">
      <alignment horizontal="left" vertical="center" wrapText="1" shrinkToFit="1"/>
    </xf>
    <xf numFmtId="0" fontId="25" fillId="5" borderId="1" xfId="0" applyFont="1" applyFill="1" applyBorder="1" applyAlignment="1">
      <alignment horizontal="center" vertical="center" wrapText="1" shrinkToFit="1"/>
    </xf>
    <xf numFmtId="0" fontId="26" fillId="5" borderId="1" xfId="0" applyFont="1" applyFill="1" applyBorder="1" applyAlignment="1">
      <alignment horizontal="left" vertical="center" wrapText="1" shrinkToFit="1"/>
    </xf>
    <xf numFmtId="0" fontId="25" fillId="4" borderId="11" xfId="0" applyFont="1" applyFill="1" applyBorder="1" applyAlignment="1">
      <alignment horizontal="center" vertical="center" wrapText="1" shrinkToFit="1"/>
    </xf>
    <xf numFmtId="0" fontId="26" fillId="4" borderId="11" xfId="0" applyFont="1" applyFill="1" applyBorder="1" applyAlignment="1">
      <alignment horizontal="left" vertical="center" wrapText="1" shrinkToFit="1"/>
    </xf>
    <xf numFmtId="0" fontId="25" fillId="4" borderId="12" xfId="0" applyFont="1" applyFill="1" applyBorder="1" applyAlignment="1">
      <alignment horizontal="center" vertical="center" wrapText="1" shrinkToFit="1"/>
    </xf>
    <xf numFmtId="0" fontId="26" fillId="4" borderId="12" xfId="0" applyFont="1" applyFill="1" applyBorder="1" applyAlignment="1">
      <alignment horizontal="left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left" vertical="center" wrapText="1" shrinkToFit="1"/>
    </xf>
    <xf numFmtId="0" fontId="24" fillId="12" borderId="1" xfId="0" applyFont="1" applyFill="1" applyBorder="1" applyAlignment="1">
      <alignment horizontal="center" vertical="center" wrapText="1" shrinkToFit="1"/>
    </xf>
    <xf numFmtId="0" fontId="20" fillId="9" borderId="1" xfId="0" applyFont="1" applyFill="1" applyBorder="1" applyAlignment="1">
      <alignment horizontal="center" vertical="center" wrapText="1" shrinkToFit="1"/>
    </xf>
    <xf numFmtId="0" fontId="30" fillId="9" borderId="1" xfId="0" applyFont="1" applyFill="1" applyBorder="1" applyAlignment="1">
      <alignment horizontal="left" vertical="center" wrapText="1" shrinkToFit="1"/>
    </xf>
    <xf numFmtId="0" fontId="20" fillId="0" borderId="14" xfId="0" applyFont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21" fillId="9" borderId="1" xfId="0" applyFont="1" applyFill="1" applyBorder="1" applyAlignment="1">
      <alignment horizontal="left" vertical="center" wrapText="1" shrinkToFit="1"/>
    </xf>
    <xf numFmtId="0" fontId="21" fillId="9" borderId="1" xfId="0" applyFont="1" applyFill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wrapText="1" shrinkToFit="1"/>
    </xf>
    <xf numFmtId="0" fontId="14" fillId="0" borderId="7" xfId="0" applyFont="1" applyBorder="1" applyAlignment="1" applyProtection="1">
      <alignment horizontal="center" vertical="center" wrapText="1" shrinkToFit="1"/>
      <protection locked="0"/>
    </xf>
    <xf numFmtId="0" fontId="14" fillId="0" borderId="8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/>
      <protection locked="0"/>
    </xf>
    <xf numFmtId="0" fontId="1" fillId="6" borderId="4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shrinkToFit="1"/>
      <protection locked="0"/>
    </xf>
    <xf numFmtId="0" fontId="9" fillId="6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>
      <alignment wrapText="1"/>
    </xf>
    <xf numFmtId="0" fontId="1" fillId="2" borderId="1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3" fillId="3" borderId="17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wrapText="1" shrinkToFit="1"/>
    </xf>
    <xf numFmtId="0" fontId="1" fillId="6" borderId="2" xfId="0" applyFont="1" applyFill="1" applyBorder="1" applyAlignment="1">
      <alignment horizontal="center" vertical="center" wrapText="1" shrinkToFit="1"/>
    </xf>
    <xf numFmtId="176" fontId="18" fillId="9" borderId="9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 shrinkToFit="1"/>
      <protection locked="0"/>
    </xf>
    <xf numFmtId="0" fontId="22" fillId="0" borderId="0" xfId="0" applyFont="1" applyAlignment="1" applyProtection="1">
      <alignment horizontal="center" vertical="center" wrapText="1" shrinkToFit="1"/>
      <protection locked="0"/>
    </xf>
    <xf numFmtId="0" fontId="27" fillId="9" borderId="2" xfId="0" applyFont="1" applyFill="1" applyBorder="1" applyAlignment="1">
      <alignment horizontal="center" vertical="center" wrapText="1" shrinkToFit="1"/>
    </xf>
    <xf numFmtId="0" fontId="28" fillId="10" borderId="13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sz val="10"/>
        <color rgb="FFFFFFFF"/>
        <name val="メイリオ"/>
        <charset val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1B5E2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5F5F5"/>
      <rgbColor rgb="FFE8F5E9"/>
      <rgbColor rgb="FF660066"/>
      <rgbColor rgb="FFFF8080"/>
      <rgbColor rgb="FF2E5FA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F"/>
      <rgbColor rgb="FFCCFFCC"/>
      <rgbColor rgb="FFFFE699"/>
      <rgbColor rgb="FFBBBBBB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3A6B"/>
      <rgbColor rgb="FF2E7D32"/>
      <rgbColor rgb="FF003300"/>
      <rgbColor rgb="FF4A4A4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432288</xdr:colOff>
      <xdr:row>1</xdr:row>
      <xdr:rowOff>241789</xdr:rowOff>
    </xdr:from>
    <xdr:to>
      <xdr:col>16</xdr:col>
      <xdr:colOff>468923</xdr:colOff>
      <xdr:row>5</xdr:row>
      <xdr:rowOff>146539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05CD98-9CFF-7070-962B-183E47BF4C1B}"/>
            </a:ext>
          </a:extLst>
        </xdr:cNvPr>
        <xdr:cNvSpPr txBox="1"/>
      </xdr:nvSpPr>
      <xdr:spPr>
        <a:xfrm>
          <a:off x="3714750" y="520212"/>
          <a:ext cx="3260481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チーム名を入力してください。</a:t>
          </a:r>
          <a:br>
            <a:rPr kumimoji="1" lang="en-US" altLang="ja-JP" sz="1100"/>
          </a:br>
          <a:r>
            <a:rPr kumimoji="1" lang="ja-JP" altLang="en-US" sz="1100"/>
            <a:t>パートも編集可能です。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435428</xdr:colOff>
      <xdr:row>1</xdr:row>
      <xdr:rowOff>340179</xdr:rowOff>
    </xdr:from>
    <xdr:to>
      <xdr:col>32</xdr:col>
      <xdr:colOff>489858</xdr:colOff>
      <xdr:row>12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16129D-1B33-19D1-39BC-1BDA7DE9E407}"/>
            </a:ext>
          </a:extLst>
        </xdr:cNvPr>
        <xdr:cNvSpPr txBox="1"/>
      </xdr:nvSpPr>
      <xdr:spPr>
        <a:xfrm>
          <a:off x="10599964" y="557893"/>
          <a:ext cx="5932715" cy="3034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点数を入力してください。パート内で同順位の場合、順位を強制的に変更できます。その他のシートにも反映されます。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437029</xdr:colOff>
      <xdr:row>3</xdr:row>
      <xdr:rowOff>22412</xdr:rowOff>
    </xdr:from>
    <xdr:to>
      <xdr:col>20</xdr:col>
      <xdr:colOff>520274</xdr:colOff>
      <xdr:row>15</xdr:row>
      <xdr:rowOff>98452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CB748E-27BF-40EC-88D1-5180243D4033}"/>
            </a:ext>
          </a:extLst>
        </xdr:cNvPr>
        <xdr:cNvSpPr txBox="1"/>
      </xdr:nvSpPr>
      <xdr:spPr>
        <a:xfrm>
          <a:off x="7519147" y="795618"/>
          <a:ext cx="5932715" cy="3034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基本的に編集不可。編集したい場合はシートの保護解除してください。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247650</xdr:rowOff>
    </xdr:from>
    <xdr:to>
      <xdr:col>22</xdr:col>
      <xdr:colOff>549088</xdr:colOff>
      <xdr:row>15</xdr:row>
      <xdr:rowOff>224118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A2258-DFC4-4A0F-96A4-408392208E43}"/>
            </a:ext>
          </a:extLst>
        </xdr:cNvPr>
        <xdr:cNvSpPr txBox="1"/>
      </xdr:nvSpPr>
      <xdr:spPr>
        <a:xfrm>
          <a:off x="8781490" y="247650"/>
          <a:ext cx="5012951" cy="4178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パート名編集可。その他は</a:t>
          </a:r>
          <a:r>
            <a:rPr kumimoji="1" lang="ja-JP" altLang="ja-JP" sz="4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編集不可。編集したい場合はシートの保護解除してください。</a:t>
          </a:r>
          <a:endParaRPr lang="ja-JP" altLang="ja-JP" sz="8800">
            <a:effectLst/>
          </a:endParaRPr>
        </a:p>
        <a:p>
          <a:endParaRPr kumimoji="1" lang="ja-JP" altLang="en-US" sz="8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171450</xdr:rowOff>
    </xdr:from>
    <xdr:to>
      <xdr:col>37</xdr:col>
      <xdr:colOff>198665</xdr:colOff>
      <xdr:row>11</xdr:row>
      <xdr:rowOff>138793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898877-98A9-4247-BFCC-83FAD0F6F410}"/>
            </a:ext>
          </a:extLst>
        </xdr:cNvPr>
        <xdr:cNvSpPr txBox="1"/>
      </xdr:nvSpPr>
      <xdr:spPr>
        <a:xfrm>
          <a:off x="9201150" y="171450"/>
          <a:ext cx="5932715" cy="3034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基本的に編集不可。編集したい場合はシートの保護解除してください。</a:t>
          </a:r>
          <a:endParaRPr lang="ja-JP" altLang="ja-JP" sz="8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zoomScale="130" zoomScaleNormal="130" workbookViewId="0">
      <selection activeCell="B2" sqref="B2"/>
    </sheetView>
  </sheetViews>
  <sheetFormatPr defaultColWidth="8.5" defaultRowHeight="18.75"/>
  <cols>
    <col min="1" max="1" width="9.875" style="75" customWidth="1"/>
    <col min="2" max="2" width="19.125" style="75" customWidth="1"/>
    <col min="3" max="3" width="14" style="75" customWidth="1"/>
    <col min="4" max="4" width="9.75" style="3" hidden="1" customWidth="1"/>
    <col min="5" max="10" width="13" style="3" hidden="1" customWidth="1"/>
    <col min="11" max="11" width="22.5" style="3" hidden="1" customWidth="1"/>
  </cols>
  <sheetData>
    <row r="1" spans="1:11" ht="21.75" customHeight="1" thickBot="1">
      <c r="A1" s="62" t="s">
        <v>0</v>
      </c>
      <c r="B1" s="62" t="s">
        <v>1</v>
      </c>
      <c r="C1" s="62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ht="30" customHeight="1" thickTop="1">
      <c r="A2" s="67">
        <f>IF(B2&lt;&gt;"",COUNTA($B$2:B2),"")</f>
        <v>1</v>
      </c>
      <c r="B2" s="76" t="s">
        <v>121</v>
      </c>
      <c r="C2" s="63" t="s">
        <v>11</v>
      </c>
      <c r="D2" s="61">
        <f>星取表!O3</f>
        <v>0</v>
      </c>
      <c r="E2" s="5">
        <f>星取表!P3</f>
        <v>0</v>
      </c>
      <c r="F2" s="5">
        <f>星取表!Q3</f>
        <v>0</v>
      </c>
      <c r="G2" s="5">
        <f>星取表!R3</f>
        <v>0</v>
      </c>
      <c r="H2" s="5">
        <f>星取表!S3</f>
        <v>0</v>
      </c>
      <c r="I2" s="5">
        <f>星取表!T3</f>
        <v>0</v>
      </c>
      <c r="J2" s="5">
        <f>星取表!U3</f>
        <v>0</v>
      </c>
      <c r="K2" s="5">
        <f t="shared" ref="K2:K33" si="0">IF(B2="",0,G2*10000000000+(J2+10000)*100000+H2*100+(57-ROW()))</f>
        <v>1000000055</v>
      </c>
    </row>
    <row r="3" spans="1:11" ht="30" customHeight="1">
      <c r="A3" s="69">
        <f>IF(B3&lt;&gt;"",COUNTA($B$2:B3),"")</f>
        <v>2</v>
      </c>
      <c r="B3" s="70" t="s">
        <v>12</v>
      </c>
      <c r="C3" s="64" t="s">
        <v>11</v>
      </c>
      <c r="D3" s="61">
        <f>星取表!O4</f>
        <v>0</v>
      </c>
      <c r="E3" s="5">
        <f>星取表!P4</f>
        <v>0</v>
      </c>
      <c r="F3" s="5">
        <f>星取表!Q4</f>
        <v>0</v>
      </c>
      <c r="G3" s="5">
        <f>星取表!R4</f>
        <v>0</v>
      </c>
      <c r="H3" s="5">
        <f>星取表!S4</f>
        <v>0</v>
      </c>
      <c r="I3" s="5">
        <f>星取表!T4</f>
        <v>0</v>
      </c>
      <c r="J3" s="5">
        <f>星取表!U4</f>
        <v>0</v>
      </c>
      <c r="K3" s="5">
        <f t="shared" si="0"/>
        <v>1000000054</v>
      </c>
    </row>
    <row r="4" spans="1:11" ht="30" customHeight="1">
      <c r="A4" s="71">
        <f>IF(B4&lt;&gt;"",COUNTA($B$2:B4),"")</f>
        <v>3</v>
      </c>
      <c r="B4" s="72" t="s">
        <v>103</v>
      </c>
      <c r="C4" s="65" t="s">
        <v>11</v>
      </c>
      <c r="D4" s="61">
        <f>星取表!O5</f>
        <v>0</v>
      </c>
      <c r="E4" s="5">
        <f>星取表!P5</f>
        <v>0</v>
      </c>
      <c r="F4" s="5">
        <f>星取表!Q5</f>
        <v>0</v>
      </c>
      <c r="G4" s="5">
        <f>星取表!R5</f>
        <v>0</v>
      </c>
      <c r="H4" s="5">
        <f>星取表!S5</f>
        <v>0</v>
      </c>
      <c r="I4" s="5">
        <f>星取表!T5</f>
        <v>0</v>
      </c>
      <c r="J4" s="5">
        <f>星取表!U5</f>
        <v>0</v>
      </c>
      <c r="K4" s="5">
        <f t="shared" si="0"/>
        <v>1000000053</v>
      </c>
    </row>
    <row r="5" spans="1:11" ht="30" customHeight="1" thickBot="1">
      <c r="A5" s="73">
        <f>IF(B5&lt;&gt;"",COUNTA($B$2:B5),"")</f>
        <v>4</v>
      </c>
      <c r="B5" s="74" t="s">
        <v>13</v>
      </c>
      <c r="C5" s="66" t="s">
        <v>11</v>
      </c>
      <c r="D5" s="61">
        <f>星取表!O6</f>
        <v>0</v>
      </c>
      <c r="E5" s="5">
        <f>星取表!P6</f>
        <v>0</v>
      </c>
      <c r="F5" s="5">
        <f>星取表!Q6</f>
        <v>0</v>
      </c>
      <c r="G5" s="5">
        <f>星取表!R6</f>
        <v>0</v>
      </c>
      <c r="H5" s="5">
        <f>星取表!S6</f>
        <v>0</v>
      </c>
      <c r="I5" s="5">
        <f>星取表!T6</f>
        <v>0</v>
      </c>
      <c r="J5" s="5">
        <f>星取表!U6</f>
        <v>0</v>
      </c>
      <c r="K5" s="5">
        <f t="shared" si="0"/>
        <v>1000000052</v>
      </c>
    </row>
    <row r="6" spans="1:11" ht="30" customHeight="1" thickTop="1">
      <c r="A6" s="67">
        <f>IF(B6&lt;&gt;"",COUNTA($B$2:B6),"")</f>
        <v>5</v>
      </c>
      <c r="B6" s="68" t="s">
        <v>106</v>
      </c>
      <c r="C6" s="63" t="s">
        <v>14</v>
      </c>
      <c r="D6" s="6">
        <f>星取表!O9</f>
        <v>0</v>
      </c>
      <c r="E6" s="5">
        <f>星取表!P9</f>
        <v>0</v>
      </c>
      <c r="F6" s="5">
        <f>星取表!Q9</f>
        <v>0</v>
      </c>
      <c r="G6" s="5">
        <f>星取表!R9</f>
        <v>0</v>
      </c>
      <c r="H6" s="5">
        <f>星取表!S9</f>
        <v>0</v>
      </c>
      <c r="I6" s="5">
        <f>星取表!T9</f>
        <v>0</v>
      </c>
      <c r="J6" s="5">
        <f>星取表!U9</f>
        <v>0</v>
      </c>
      <c r="K6" s="5">
        <f t="shared" si="0"/>
        <v>1000000051</v>
      </c>
    </row>
    <row r="7" spans="1:11" ht="30" customHeight="1">
      <c r="A7" s="69">
        <f>IF(B7&lt;&gt;"",COUNTA($B$2:B7),"")</f>
        <v>6</v>
      </c>
      <c r="B7" s="70" t="s">
        <v>15</v>
      </c>
      <c r="C7" s="64" t="s">
        <v>105</v>
      </c>
      <c r="D7" s="6">
        <f>星取表!O10</f>
        <v>0</v>
      </c>
      <c r="E7" s="5">
        <f>星取表!P10</f>
        <v>0</v>
      </c>
      <c r="F7" s="5">
        <f>星取表!Q10</f>
        <v>0</v>
      </c>
      <c r="G7" s="5">
        <f>星取表!R10</f>
        <v>0</v>
      </c>
      <c r="H7" s="5">
        <f>星取表!S10</f>
        <v>0</v>
      </c>
      <c r="I7" s="5">
        <f>星取表!T10</f>
        <v>0</v>
      </c>
      <c r="J7" s="5">
        <f>星取表!U10</f>
        <v>0</v>
      </c>
      <c r="K7" s="5">
        <f t="shared" si="0"/>
        <v>1000000050</v>
      </c>
    </row>
    <row r="8" spans="1:11" ht="30" customHeight="1">
      <c r="A8" s="71">
        <f>IF(B8&lt;&gt;"",COUNTA($B$2:B8),"")</f>
        <v>7</v>
      </c>
      <c r="B8" s="72" t="s">
        <v>107</v>
      </c>
      <c r="C8" s="65" t="s">
        <v>14</v>
      </c>
      <c r="D8" s="6">
        <f>星取表!O11</f>
        <v>0</v>
      </c>
      <c r="E8" s="5">
        <f>星取表!P11</f>
        <v>0</v>
      </c>
      <c r="F8" s="5">
        <f>星取表!Q11</f>
        <v>0</v>
      </c>
      <c r="G8" s="5">
        <f>星取表!R11</f>
        <v>0</v>
      </c>
      <c r="H8" s="5">
        <f>星取表!S11</f>
        <v>0</v>
      </c>
      <c r="I8" s="5">
        <f>星取表!T11</f>
        <v>0</v>
      </c>
      <c r="J8" s="5">
        <f>星取表!U11</f>
        <v>0</v>
      </c>
      <c r="K8" s="5">
        <f t="shared" si="0"/>
        <v>1000000049</v>
      </c>
    </row>
    <row r="9" spans="1:11" ht="30" customHeight="1" thickBot="1">
      <c r="A9" s="73">
        <f>IF(B9&lt;&gt;"",COUNTA($B$2:B9),"")</f>
        <v>8</v>
      </c>
      <c r="B9" s="74" t="s">
        <v>16</v>
      </c>
      <c r="C9" s="66" t="s">
        <v>14</v>
      </c>
      <c r="D9" s="6">
        <f>星取表!O12</f>
        <v>0</v>
      </c>
      <c r="E9" s="5">
        <f>星取表!P12</f>
        <v>0</v>
      </c>
      <c r="F9" s="5">
        <f>星取表!Q12</f>
        <v>0</v>
      </c>
      <c r="G9" s="5">
        <f>星取表!R12</f>
        <v>0</v>
      </c>
      <c r="H9" s="5">
        <f>星取表!S12</f>
        <v>0</v>
      </c>
      <c r="I9" s="5">
        <f>星取表!T12</f>
        <v>0</v>
      </c>
      <c r="J9" s="5">
        <f>星取表!U12</f>
        <v>0</v>
      </c>
      <c r="K9" s="5">
        <f t="shared" si="0"/>
        <v>1000000048</v>
      </c>
    </row>
    <row r="10" spans="1:11" ht="30" customHeight="1" thickTop="1">
      <c r="A10" s="67">
        <f>IF(B10&lt;&gt;"",COUNTA($B$2:B10),"")</f>
        <v>9</v>
      </c>
      <c r="B10" s="68" t="s">
        <v>17</v>
      </c>
      <c r="C10" s="63" t="s">
        <v>18</v>
      </c>
      <c r="D10" s="6">
        <f>星取表!O15</f>
        <v>0</v>
      </c>
      <c r="E10" s="5">
        <f>星取表!P15</f>
        <v>0</v>
      </c>
      <c r="F10" s="5">
        <f>星取表!Q15</f>
        <v>0</v>
      </c>
      <c r="G10" s="5">
        <f>星取表!R15</f>
        <v>0</v>
      </c>
      <c r="H10" s="5">
        <f>星取表!S15</f>
        <v>0</v>
      </c>
      <c r="I10" s="5">
        <f>星取表!T15</f>
        <v>0</v>
      </c>
      <c r="J10" s="5">
        <f>星取表!U15</f>
        <v>0</v>
      </c>
      <c r="K10" s="5">
        <f t="shared" si="0"/>
        <v>1000000047</v>
      </c>
    </row>
    <row r="11" spans="1:11" ht="30" customHeight="1">
      <c r="A11" s="69">
        <f>IF(B11&lt;&gt;"",COUNTA($B$2:B11),"")</f>
        <v>10</v>
      </c>
      <c r="B11" s="70" t="s">
        <v>19</v>
      </c>
      <c r="C11" s="64" t="s">
        <v>18</v>
      </c>
      <c r="D11" s="6">
        <f>星取表!O16</f>
        <v>0</v>
      </c>
      <c r="E11" s="5">
        <f>星取表!P16</f>
        <v>0</v>
      </c>
      <c r="F11" s="5">
        <f>星取表!Q16</f>
        <v>0</v>
      </c>
      <c r="G11" s="5">
        <f>星取表!R16</f>
        <v>0</v>
      </c>
      <c r="H11" s="5">
        <f>星取表!S16</f>
        <v>0</v>
      </c>
      <c r="I11" s="5">
        <f>星取表!T16</f>
        <v>0</v>
      </c>
      <c r="J11" s="5">
        <f>星取表!U16</f>
        <v>0</v>
      </c>
      <c r="K11" s="5">
        <f t="shared" si="0"/>
        <v>1000000046</v>
      </c>
    </row>
    <row r="12" spans="1:11" ht="30" customHeight="1">
      <c r="A12" s="71">
        <f>IF(B12&lt;&gt;"",COUNTA($B$2:B12),"")</f>
        <v>11</v>
      </c>
      <c r="B12" s="72" t="s">
        <v>108</v>
      </c>
      <c r="C12" s="65" t="s">
        <v>18</v>
      </c>
      <c r="D12" s="6">
        <f>星取表!O17</f>
        <v>0</v>
      </c>
      <c r="E12" s="5">
        <f>星取表!P17</f>
        <v>0</v>
      </c>
      <c r="F12" s="5">
        <f>星取表!Q17</f>
        <v>0</v>
      </c>
      <c r="G12" s="5">
        <f>星取表!R17</f>
        <v>0</v>
      </c>
      <c r="H12" s="5">
        <f>星取表!S17</f>
        <v>0</v>
      </c>
      <c r="I12" s="5">
        <f>星取表!T17</f>
        <v>0</v>
      </c>
      <c r="J12" s="5">
        <f>星取表!U17</f>
        <v>0</v>
      </c>
      <c r="K12" s="5">
        <f t="shared" si="0"/>
        <v>1000000045</v>
      </c>
    </row>
    <row r="13" spans="1:11" ht="30" customHeight="1" thickBot="1">
      <c r="A13" s="73">
        <f>IF(B13&lt;&gt;"",COUNTA($B$2:B13),"")</f>
        <v>12</v>
      </c>
      <c r="B13" s="74" t="s">
        <v>20</v>
      </c>
      <c r="C13" s="66" t="s">
        <v>18</v>
      </c>
      <c r="D13" s="6">
        <f>星取表!O18</f>
        <v>0</v>
      </c>
      <c r="E13" s="5">
        <f>星取表!P18</f>
        <v>0</v>
      </c>
      <c r="F13" s="5">
        <f>星取表!Q18</f>
        <v>0</v>
      </c>
      <c r="G13" s="5">
        <f>星取表!R18</f>
        <v>0</v>
      </c>
      <c r="H13" s="5">
        <f>星取表!S18</f>
        <v>0</v>
      </c>
      <c r="I13" s="5">
        <f>星取表!T18</f>
        <v>0</v>
      </c>
      <c r="J13" s="5">
        <f>星取表!U18</f>
        <v>0</v>
      </c>
      <c r="K13" s="5">
        <f t="shared" si="0"/>
        <v>1000000044</v>
      </c>
    </row>
    <row r="14" spans="1:11" ht="30" customHeight="1" thickTop="1">
      <c r="A14" s="67">
        <f>IF(B14&lt;&gt;"",COUNTA($B$2:B14),"")</f>
        <v>13</v>
      </c>
      <c r="B14" s="68" t="s">
        <v>21</v>
      </c>
      <c r="C14" s="63" t="s">
        <v>22</v>
      </c>
      <c r="D14" s="6">
        <f>星取表!O21</f>
        <v>0</v>
      </c>
      <c r="E14" s="5">
        <f>星取表!P21</f>
        <v>0</v>
      </c>
      <c r="F14" s="5">
        <f>星取表!Q21</f>
        <v>0</v>
      </c>
      <c r="G14" s="5">
        <f>星取表!R21</f>
        <v>0</v>
      </c>
      <c r="H14" s="5">
        <f>星取表!S21</f>
        <v>0</v>
      </c>
      <c r="I14" s="5">
        <f>星取表!T21</f>
        <v>0</v>
      </c>
      <c r="J14" s="5">
        <f>星取表!U21</f>
        <v>0</v>
      </c>
      <c r="K14" s="5">
        <f t="shared" si="0"/>
        <v>1000000043</v>
      </c>
    </row>
    <row r="15" spans="1:11" ht="30" customHeight="1">
      <c r="A15" s="69">
        <f>IF(B15&lt;&gt;"",COUNTA($B$2:B15),"")</f>
        <v>14</v>
      </c>
      <c r="B15" s="70" t="s">
        <v>23</v>
      </c>
      <c r="C15" s="64" t="s">
        <v>22</v>
      </c>
      <c r="D15" s="6">
        <f>星取表!O22</f>
        <v>0</v>
      </c>
      <c r="E15" s="5">
        <f>星取表!P22</f>
        <v>0</v>
      </c>
      <c r="F15" s="5">
        <f>星取表!Q22</f>
        <v>0</v>
      </c>
      <c r="G15" s="5">
        <f>星取表!R22</f>
        <v>0</v>
      </c>
      <c r="H15" s="5">
        <f>星取表!S22</f>
        <v>0</v>
      </c>
      <c r="I15" s="5">
        <f>星取表!T22</f>
        <v>0</v>
      </c>
      <c r="J15" s="5">
        <f>星取表!U22</f>
        <v>0</v>
      </c>
      <c r="K15" s="5">
        <f t="shared" si="0"/>
        <v>1000000042</v>
      </c>
    </row>
    <row r="16" spans="1:11" ht="30" customHeight="1">
      <c r="A16" s="71">
        <f>IF(B16&lt;&gt;"",COUNTA($B$2:B16),"")</f>
        <v>15</v>
      </c>
      <c r="B16" s="72" t="s">
        <v>109</v>
      </c>
      <c r="C16" s="65" t="s">
        <v>22</v>
      </c>
      <c r="D16" s="6">
        <f>星取表!O23</f>
        <v>0</v>
      </c>
      <c r="E16" s="5">
        <f>星取表!P23</f>
        <v>0</v>
      </c>
      <c r="F16" s="5">
        <f>星取表!Q23</f>
        <v>0</v>
      </c>
      <c r="G16" s="5">
        <f>星取表!R23</f>
        <v>0</v>
      </c>
      <c r="H16" s="5">
        <f>星取表!S23</f>
        <v>0</v>
      </c>
      <c r="I16" s="5">
        <f>星取表!T23</f>
        <v>0</v>
      </c>
      <c r="J16" s="5">
        <f>星取表!U23</f>
        <v>0</v>
      </c>
      <c r="K16" s="5">
        <f t="shared" si="0"/>
        <v>1000000041</v>
      </c>
    </row>
    <row r="17" spans="1:11" ht="30" customHeight="1" thickBot="1">
      <c r="A17" s="73">
        <f>IF(B17&lt;&gt;"",COUNTA($B$2:B17),"")</f>
        <v>16</v>
      </c>
      <c r="B17" s="74" t="s">
        <v>24</v>
      </c>
      <c r="C17" s="66" t="s">
        <v>22</v>
      </c>
      <c r="D17" s="6">
        <f>星取表!O24</f>
        <v>0</v>
      </c>
      <c r="E17" s="5">
        <f>星取表!P24</f>
        <v>0</v>
      </c>
      <c r="F17" s="5">
        <f>星取表!Q24</f>
        <v>0</v>
      </c>
      <c r="G17" s="5">
        <f>星取表!R24</f>
        <v>0</v>
      </c>
      <c r="H17" s="5">
        <f>星取表!S24</f>
        <v>0</v>
      </c>
      <c r="I17" s="5">
        <f>星取表!T24</f>
        <v>0</v>
      </c>
      <c r="J17" s="5">
        <f>星取表!U24</f>
        <v>0</v>
      </c>
      <c r="K17" s="5">
        <f t="shared" si="0"/>
        <v>1000000040</v>
      </c>
    </row>
    <row r="18" spans="1:11" ht="30" customHeight="1" thickTop="1">
      <c r="A18" s="67">
        <f>IF(B18&lt;&gt;"",COUNTA($B$2:B18),"")</f>
        <v>17</v>
      </c>
      <c r="B18" s="68" t="s">
        <v>25</v>
      </c>
      <c r="C18" s="63" t="s">
        <v>26</v>
      </c>
      <c r="D18" s="6">
        <f>星取表!O27</f>
        <v>0</v>
      </c>
      <c r="E18" s="5">
        <f>星取表!P27</f>
        <v>0</v>
      </c>
      <c r="F18" s="5">
        <f>星取表!Q27</f>
        <v>0</v>
      </c>
      <c r="G18" s="5">
        <f>星取表!R27</f>
        <v>0</v>
      </c>
      <c r="H18" s="5">
        <f>星取表!S27</f>
        <v>0</v>
      </c>
      <c r="I18" s="5">
        <f>星取表!T27</f>
        <v>0</v>
      </c>
      <c r="J18" s="5">
        <f>星取表!U27</f>
        <v>0</v>
      </c>
      <c r="K18" s="5">
        <f t="shared" si="0"/>
        <v>1000000039</v>
      </c>
    </row>
    <row r="19" spans="1:11" ht="30" customHeight="1">
      <c r="A19" s="69">
        <f>IF(B19&lt;&gt;"",COUNTA($B$2:B19),"")</f>
        <v>18</v>
      </c>
      <c r="B19" s="70" t="s">
        <v>27</v>
      </c>
      <c r="C19" s="64" t="s">
        <v>26</v>
      </c>
      <c r="D19" s="6">
        <f>星取表!O28</f>
        <v>0</v>
      </c>
      <c r="E19" s="5">
        <f>星取表!P28</f>
        <v>0</v>
      </c>
      <c r="F19" s="5">
        <f>星取表!Q28</f>
        <v>0</v>
      </c>
      <c r="G19" s="5">
        <f>星取表!R28</f>
        <v>0</v>
      </c>
      <c r="H19" s="5">
        <f>星取表!S28</f>
        <v>0</v>
      </c>
      <c r="I19" s="5">
        <f>星取表!T28</f>
        <v>0</v>
      </c>
      <c r="J19" s="5">
        <f>星取表!U28</f>
        <v>0</v>
      </c>
      <c r="K19" s="5">
        <f t="shared" si="0"/>
        <v>1000000038</v>
      </c>
    </row>
    <row r="20" spans="1:11" ht="30" customHeight="1">
      <c r="A20" s="71">
        <f>IF(B20&lt;&gt;"",COUNTA($B$2:B20),"")</f>
        <v>19</v>
      </c>
      <c r="B20" s="72" t="s">
        <v>110</v>
      </c>
      <c r="C20" s="65" t="s">
        <v>26</v>
      </c>
      <c r="D20" s="6">
        <f>星取表!O29</f>
        <v>0</v>
      </c>
      <c r="E20" s="5">
        <f>星取表!P29</f>
        <v>0</v>
      </c>
      <c r="F20" s="5">
        <f>星取表!Q29</f>
        <v>0</v>
      </c>
      <c r="G20" s="5">
        <f>星取表!R29</f>
        <v>0</v>
      </c>
      <c r="H20" s="5">
        <f>星取表!S29</f>
        <v>0</v>
      </c>
      <c r="I20" s="5">
        <f>星取表!T29</f>
        <v>0</v>
      </c>
      <c r="J20" s="5">
        <f>星取表!U29</f>
        <v>0</v>
      </c>
      <c r="K20" s="5">
        <f t="shared" si="0"/>
        <v>1000000037</v>
      </c>
    </row>
    <row r="21" spans="1:11" ht="30" customHeight="1" thickBot="1">
      <c r="A21" s="73">
        <f>IF(B21&lt;&gt;"",COUNTA($B$2:B21),"")</f>
        <v>20</v>
      </c>
      <c r="B21" s="74" t="s">
        <v>28</v>
      </c>
      <c r="C21" s="66" t="s">
        <v>26</v>
      </c>
      <c r="D21" s="6">
        <f>星取表!O30</f>
        <v>0</v>
      </c>
      <c r="E21" s="5">
        <f>星取表!P30</f>
        <v>0</v>
      </c>
      <c r="F21" s="5">
        <f>星取表!Q30</f>
        <v>0</v>
      </c>
      <c r="G21" s="5">
        <f>星取表!R30</f>
        <v>0</v>
      </c>
      <c r="H21" s="5">
        <f>星取表!S30</f>
        <v>0</v>
      </c>
      <c r="I21" s="5">
        <f>星取表!T30</f>
        <v>0</v>
      </c>
      <c r="J21" s="5">
        <f>星取表!U30</f>
        <v>0</v>
      </c>
      <c r="K21" s="5">
        <f t="shared" si="0"/>
        <v>1000000036</v>
      </c>
    </row>
    <row r="22" spans="1:11" ht="30" customHeight="1" thickTop="1">
      <c r="A22" s="67">
        <f>IF(B22&lt;&gt;"",COUNTA($B$2:B22),"")</f>
        <v>21</v>
      </c>
      <c r="B22" s="68" t="s">
        <v>29</v>
      </c>
      <c r="C22" s="63" t="s">
        <v>30</v>
      </c>
      <c r="D22" s="6">
        <f>星取表!O33</f>
        <v>0</v>
      </c>
      <c r="E22" s="5">
        <f>星取表!P33</f>
        <v>0</v>
      </c>
      <c r="F22" s="5">
        <f>星取表!Q33</f>
        <v>0</v>
      </c>
      <c r="G22" s="5">
        <f>星取表!R33</f>
        <v>0</v>
      </c>
      <c r="H22" s="5">
        <f>星取表!S33</f>
        <v>0</v>
      </c>
      <c r="I22" s="5">
        <f>星取表!T33</f>
        <v>0</v>
      </c>
      <c r="J22" s="5">
        <f>星取表!U33</f>
        <v>0</v>
      </c>
      <c r="K22" s="5">
        <f t="shared" si="0"/>
        <v>1000000035</v>
      </c>
    </row>
    <row r="23" spans="1:11" ht="30" customHeight="1">
      <c r="A23" s="69">
        <f>IF(B23&lt;&gt;"",COUNTA($B$2:B23),"")</f>
        <v>22</v>
      </c>
      <c r="B23" s="70" t="s">
        <v>31</v>
      </c>
      <c r="C23" s="64" t="s">
        <v>30</v>
      </c>
      <c r="D23" s="6">
        <f>星取表!O34</f>
        <v>0</v>
      </c>
      <c r="E23" s="5">
        <f>星取表!P34</f>
        <v>0</v>
      </c>
      <c r="F23" s="5">
        <f>星取表!Q34</f>
        <v>0</v>
      </c>
      <c r="G23" s="5">
        <f>星取表!R34</f>
        <v>0</v>
      </c>
      <c r="H23" s="5">
        <f>星取表!S34</f>
        <v>0</v>
      </c>
      <c r="I23" s="5">
        <f>星取表!T34</f>
        <v>0</v>
      </c>
      <c r="J23" s="5">
        <f>星取表!U34</f>
        <v>0</v>
      </c>
      <c r="K23" s="5">
        <f t="shared" si="0"/>
        <v>1000000034</v>
      </c>
    </row>
    <row r="24" spans="1:11" ht="30" customHeight="1">
      <c r="A24" s="71">
        <f>IF(B24&lt;&gt;"",COUNTA($B$2:B24),"")</f>
        <v>23</v>
      </c>
      <c r="B24" s="72" t="s">
        <v>111</v>
      </c>
      <c r="C24" s="65" t="s">
        <v>30</v>
      </c>
      <c r="D24" s="6">
        <f>星取表!O35</f>
        <v>0</v>
      </c>
      <c r="E24" s="5">
        <f>星取表!P35</f>
        <v>0</v>
      </c>
      <c r="F24" s="5">
        <f>星取表!Q35</f>
        <v>0</v>
      </c>
      <c r="G24" s="5">
        <f>星取表!R35</f>
        <v>0</v>
      </c>
      <c r="H24" s="5">
        <f>星取表!S35</f>
        <v>0</v>
      </c>
      <c r="I24" s="5">
        <f>星取表!T35</f>
        <v>0</v>
      </c>
      <c r="J24" s="5">
        <f>星取表!U35</f>
        <v>0</v>
      </c>
      <c r="K24" s="5">
        <f t="shared" si="0"/>
        <v>1000000033</v>
      </c>
    </row>
    <row r="25" spans="1:11" ht="30" customHeight="1" thickBot="1">
      <c r="A25" s="73">
        <f>IF(B25&lt;&gt;"",COUNTA($B$2:B25),"")</f>
        <v>24</v>
      </c>
      <c r="B25" s="74" t="s">
        <v>32</v>
      </c>
      <c r="C25" s="66" t="s">
        <v>30</v>
      </c>
      <c r="D25" s="6">
        <f>星取表!O36</f>
        <v>0</v>
      </c>
      <c r="E25" s="5">
        <f>星取表!P36</f>
        <v>0</v>
      </c>
      <c r="F25" s="5">
        <f>星取表!Q36</f>
        <v>0</v>
      </c>
      <c r="G25" s="5">
        <f>星取表!R36</f>
        <v>0</v>
      </c>
      <c r="H25" s="5">
        <f>星取表!S36</f>
        <v>0</v>
      </c>
      <c r="I25" s="5">
        <f>星取表!T36</f>
        <v>0</v>
      </c>
      <c r="J25" s="5">
        <f>星取表!U36</f>
        <v>0</v>
      </c>
      <c r="K25" s="5">
        <f t="shared" si="0"/>
        <v>1000000032</v>
      </c>
    </row>
    <row r="26" spans="1:11" ht="30" customHeight="1" thickTop="1">
      <c r="A26" s="67">
        <f>IF(B26&lt;&gt;"",COUNTA($B$2:B26),"")</f>
        <v>25</v>
      </c>
      <c r="B26" s="68" t="s">
        <v>33</v>
      </c>
      <c r="C26" s="63" t="s">
        <v>34</v>
      </c>
      <c r="D26" s="6">
        <f>星取表!O39</f>
        <v>0</v>
      </c>
      <c r="E26" s="5">
        <f>星取表!P39</f>
        <v>0</v>
      </c>
      <c r="F26" s="5">
        <f>星取表!Q39</f>
        <v>0</v>
      </c>
      <c r="G26" s="5">
        <f>星取表!R39</f>
        <v>0</v>
      </c>
      <c r="H26" s="5">
        <f>星取表!S39</f>
        <v>0</v>
      </c>
      <c r="I26" s="5">
        <f>星取表!T39</f>
        <v>0</v>
      </c>
      <c r="J26" s="5">
        <f>星取表!U39</f>
        <v>0</v>
      </c>
      <c r="K26" s="5">
        <f t="shared" si="0"/>
        <v>1000000031</v>
      </c>
    </row>
    <row r="27" spans="1:11" ht="30" customHeight="1">
      <c r="A27" s="69">
        <f>IF(B27&lt;&gt;"",COUNTA($B$2:B27),"")</f>
        <v>26</v>
      </c>
      <c r="B27" s="70" t="s">
        <v>35</v>
      </c>
      <c r="C27" s="64" t="s">
        <v>34</v>
      </c>
      <c r="D27" s="6">
        <f>星取表!O40</f>
        <v>0</v>
      </c>
      <c r="E27" s="5">
        <f>星取表!P40</f>
        <v>0</v>
      </c>
      <c r="F27" s="5">
        <f>星取表!Q40</f>
        <v>0</v>
      </c>
      <c r="G27" s="5">
        <f>星取表!R40</f>
        <v>0</v>
      </c>
      <c r="H27" s="5">
        <f>星取表!S40</f>
        <v>0</v>
      </c>
      <c r="I27" s="5">
        <f>星取表!T40</f>
        <v>0</v>
      </c>
      <c r="J27" s="5">
        <f>星取表!U40</f>
        <v>0</v>
      </c>
      <c r="K27" s="5">
        <f t="shared" si="0"/>
        <v>1000000030</v>
      </c>
    </row>
    <row r="28" spans="1:11" ht="30" customHeight="1">
      <c r="A28" s="71">
        <f>IF(B28&lt;&gt;"",COUNTA($B$2:B28),"")</f>
        <v>27</v>
      </c>
      <c r="B28" s="72" t="s">
        <v>112</v>
      </c>
      <c r="C28" s="65" t="s">
        <v>34</v>
      </c>
      <c r="D28" s="6">
        <f>星取表!O41</f>
        <v>0</v>
      </c>
      <c r="E28" s="5">
        <f>星取表!P41</f>
        <v>0</v>
      </c>
      <c r="F28" s="5">
        <f>星取表!Q41</f>
        <v>0</v>
      </c>
      <c r="G28" s="5">
        <f>星取表!R41</f>
        <v>0</v>
      </c>
      <c r="H28" s="5">
        <f>星取表!S41</f>
        <v>0</v>
      </c>
      <c r="I28" s="5">
        <f>星取表!T41</f>
        <v>0</v>
      </c>
      <c r="J28" s="5">
        <f>星取表!U41</f>
        <v>0</v>
      </c>
      <c r="K28" s="5">
        <f t="shared" si="0"/>
        <v>1000000029</v>
      </c>
    </row>
    <row r="29" spans="1:11" ht="30" customHeight="1" thickBot="1">
      <c r="A29" s="73">
        <f>IF(B29&lt;&gt;"",COUNTA($B$2:B29),"")</f>
        <v>28</v>
      </c>
      <c r="B29" s="74" t="s">
        <v>36</v>
      </c>
      <c r="C29" s="66" t="s">
        <v>34</v>
      </c>
      <c r="D29" s="6">
        <f>星取表!O42</f>
        <v>0</v>
      </c>
      <c r="E29" s="5">
        <f>星取表!P42</f>
        <v>0</v>
      </c>
      <c r="F29" s="5">
        <f>星取表!Q42</f>
        <v>0</v>
      </c>
      <c r="G29" s="5">
        <f>星取表!R42</f>
        <v>0</v>
      </c>
      <c r="H29" s="5">
        <f>星取表!S42</f>
        <v>0</v>
      </c>
      <c r="I29" s="5">
        <f>星取表!T42</f>
        <v>0</v>
      </c>
      <c r="J29" s="5">
        <f>星取表!U42</f>
        <v>0</v>
      </c>
      <c r="K29" s="5">
        <f t="shared" si="0"/>
        <v>1000000028</v>
      </c>
    </row>
    <row r="30" spans="1:11" ht="30" customHeight="1" thickTop="1">
      <c r="A30" s="67">
        <f>IF(B30&lt;&gt;"",COUNTA($B$2:B30),"")</f>
        <v>29</v>
      </c>
      <c r="B30" s="68" t="s">
        <v>37</v>
      </c>
      <c r="C30" s="63" t="s">
        <v>38</v>
      </c>
      <c r="D30" s="6">
        <f>星取表!O45</f>
        <v>0</v>
      </c>
      <c r="E30" s="5">
        <f>星取表!P45</f>
        <v>0</v>
      </c>
      <c r="F30" s="5">
        <f>星取表!Q45</f>
        <v>0</v>
      </c>
      <c r="G30" s="5">
        <f>星取表!R45</f>
        <v>0</v>
      </c>
      <c r="H30" s="5">
        <f>星取表!S45</f>
        <v>0</v>
      </c>
      <c r="I30" s="5">
        <f>星取表!T45</f>
        <v>0</v>
      </c>
      <c r="J30" s="5">
        <f>星取表!U45</f>
        <v>0</v>
      </c>
      <c r="K30" s="5">
        <f t="shared" si="0"/>
        <v>1000000027</v>
      </c>
    </row>
    <row r="31" spans="1:11" ht="30" customHeight="1">
      <c r="A31" s="69">
        <f>IF(B31&lt;&gt;"",COUNTA($B$2:B31),"")</f>
        <v>30</v>
      </c>
      <c r="B31" s="70" t="s">
        <v>39</v>
      </c>
      <c r="C31" s="64" t="s">
        <v>38</v>
      </c>
      <c r="D31" s="6">
        <f>星取表!O46</f>
        <v>0</v>
      </c>
      <c r="E31" s="5">
        <f>星取表!P46</f>
        <v>0</v>
      </c>
      <c r="F31" s="5">
        <f>星取表!Q46</f>
        <v>0</v>
      </c>
      <c r="G31" s="5">
        <f>星取表!R46</f>
        <v>0</v>
      </c>
      <c r="H31" s="5">
        <f>星取表!S46</f>
        <v>0</v>
      </c>
      <c r="I31" s="5">
        <f>星取表!T46</f>
        <v>0</v>
      </c>
      <c r="J31" s="5">
        <f>星取表!U46</f>
        <v>0</v>
      </c>
      <c r="K31" s="5">
        <f t="shared" si="0"/>
        <v>1000000026</v>
      </c>
    </row>
    <row r="32" spans="1:11" ht="30" customHeight="1">
      <c r="A32" s="71">
        <f>IF(B32&lt;&gt;"",COUNTA($B$2:B32),"")</f>
        <v>31</v>
      </c>
      <c r="B32" s="72" t="s">
        <v>113</v>
      </c>
      <c r="C32" s="65" t="s">
        <v>38</v>
      </c>
      <c r="D32" s="6">
        <f>星取表!O47</f>
        <v>0</v>
      </c>
      <c r="E32" s="5">
        <f>星取表!P47</f>
        <v>0</v>
      </c>
      <c r="F32" s="5">
        <f>星取表!Q47</f>
        <v>0</v>
      </c>
      <c r="G32" s="5">
        <f>星取表!R47</f>
        <v>0</v>
      </c>
      <c r="H32" s="5">
        <f>星取表!S47</f>
        <v>0</v>
      </c>
      <c r="I32" s="5">
        <f>星取表!T47</f>
        <v>0</v>
      </c>
      <c r="J32" s="5">
        <f>星取表!U47</f>
        <v>0</v>
      </c>
      <c r="K32" s="5">
        <f t="shared" si="0"/>
        <v>1000000025</v>
      </c>
    </row>
    <row r="33" spans="1:11" ht="30" customHeight="1" thickBot="1">
      <c r="A33" s="73">
        <f>IF(B33&lt;&gt;"",COUNTA($B$2:B33),"")</f>
        <v>32</v>
      </c>
      <c r="B33" s="74" t="s">
        <v>40</v>
      </c>
      <c r="C33" s="66" t="s">
        <v>38</v>
      </c>
      <c r="D33" s="6">
        <f>星取表!O48</f>
        <v>0</v>
      </c>
      <c r="E33" s="5">
        <f>星取表!P48</f>
        <v>0</v>
      </c>
      <c r="F33" s="5">
        <f>星取表!Q48</f>
        <v>0</v>
      </c>
      <c r="G33" s="5">
        <f>星取表!R48</f>
        <v>0</v>
      </c>
      <c r="H33" s="5">
        <f>星取表!S48</f>
        <v>0</v>
      </c>
      <c r="I33" s="5">
        <f>星取表!T48</f>
        <v>0</v>
      </c>
      <c r="J33" s="5">
        <f>星取表!U48</f>
        <v>0</v>
      </c>
      <c r="K33" s="5">
        <f t="shared" si="0"/>
        <v>1000000024</v>
      </c>
    </row>
    <row r="34" spans="1:11" ht="30" customHeight="1" thickTop="1">
      <c r="A34" s="67">
        <f>IF(B34&lt;&gt;"",COUNTA($B$2:B34),"")</f>
        <v>33</v>
      </c>
      <c r="B34" s="68" t="s">
        <v>41</v>
      </c>
      <c r="C34" s="63" t="s">
        <v>42</v>
      </c>
      <c r="D34" s="6">
        <f>星取表!O51</f>
        <v>0</v>
      </c>
      <c r="E34" s="5">
        <f>星取表!P51</f>
        <v>0</v>
      </c>
      <c r="F34" s="5">
        <f>星取表!Q51</f>
        <v>0</v>
      </c>
      <c r="G34" s="5">
        <f>星取表!R51</f>
        <v>0</v>
      </c>
      <c r="H34" s="5">
        <f>星取表!S51</f>
        <v>0</v>
      </c>
      <c r="I34" s="5">
        <f>星取表!T51</f>
        <v>0</v>
      </c>
      <c r="J34" s="5">
        <f>星取表!U51</f>
        <v>0</v>
      </c>
      <c r="K34" s="5">
        <f t="shared" ref="K34:K57" si="1">IF(B34="",0,G34*10000000000+(J34+10000)*100000+H34*100+(57-ROW()))</f>
        <v>1000000023</v>
      </c>
    </row>
    <row r="35" spans="1:11" ht="30" customHeight="1">
      <c r="A35" s="69">
        <f>IF(B35&lt;&gt;"",COUNTA($B$2:B35),"")</f>
        <v>34</v>
      </c>
      <c r="B35" s="70" t="s">
        <v>43</v>
      </c>
      <c r="C35" s="64" t="s">
        <v>42</v>
      </c>
      <c r="D35" s="6">
        <f>星取表!O52</f>
        <v>0</v>
      </c>
      <c r="E35" s="5">
        <f>星取表!P52</f>
        <v>0</v>
      </c>
      <c r="F35" s="5">
        <f>星取表!Q52</f>
        <v>0</v>
      </c>
      <c r="G35" s="5">
        <f>星取表!R52</f>
        <v>0</v>
      </c>
      <c r="H35" s="5">
        <f>星取表!S52</f>
        <v>0</v>
      </c>
      <c r="I35" s="5">
        <f>星取表!T52</f>
        <v>0</v>
      </c>
      <c r="J35" s="5">
        <f>星取表!U52</f>
        <v>0</v>
      </c>
      <c r="K35" s="5">
        <f t="shared" si="1"/>
        <v>1000000022</v>
      </c>
    </row>
    <row r="36" spans="1:11" ht="30" customHeight="1">
      <c r="A36" s="71">
        <f>IF(B36&lt;&gt;"",COUNTA($B$2:B36),"")</f>
        <v>35</v>
      </c>
      <c r="B36" s="72" t="s">
        <v>114</v>
      </c>
      <c r="C36" s="65" t="s">
        <v>42</v>
      </c>
      <c r="D36" s="6">
        <f>星取表!O53</f>
        <v>0</v>
      </c>
      <c r="E36" s="5">
        <f>星取表!P53</f>
        <v>0</v>
      </c>
      <c r="F36" s="5">
        <f>星取表!Q53</f>
        <v>0</v>
      </c>
      <c r="G36" s="5">
        <f>星取表!R53</f>
        <v>0</v>
      </c>
      <c r="H36" s="5">
        <f>星取表!S53</f>
        <v>0</v>
      </c>
      <c r="I36" s="5">
        <f>星取表!T53</f>
        <v>0</v>
      </c>
      <c r="J36" s="5">
        <f>星取表!U53</f>
        <v>0</v>
      </c>
      <c r="K36" s="5">
        <f t="shared" si="1"/>
        <v>1000000021</v>
      </c>
    </row>
    <row r="37" spans="1:11" ht="30" customHeight="1" thickBot="1">
      <c r="A37" s="73">
        <f>IF(B37&lt;&gt;"",COUNTA($B$2:B37),"")</f>
        <v>36</v>
      </c>
      <c r="B37" s="74" t="s">
        <v>44</v>
      </c>
      <c r="C37" s="66" t="s">
        <v>42</v>
      </c>
      <c r="D37" s="6">
        <f>星取表!O54</f>
        <v>0</v>
      </c>
      <c r="E37" s="5">
        <f>星取表!P54</f>
        <v>0</v>
      </c>
      <c r="F37" s="5">
        <f>星取表!Q54</f>
        <v>0</v>
      </c>
      <c r="G37" s="5">
        <f>星取表!R54</f>
        <v>0</v>
      </c>
      <c r="H37" s="5">
        <f>星取表!S54</f>
        <v>0</v>
      </c>
      <c r="I37" s="5">
        <f>星取表!T54</f>
        <v>0</v>
      </c>
      <c r="J37" s="5">
        <f>星取表!U54</f>
        <v>0</v>
      </c>
      <c r="K37" s="5">
        <f t="shared" si="1"/>
        <v>1000000020</v>
      </c>
    </row>
    <row r="38" spans="1:11" ht="30" customHeight="1" thickTop="1">
      <c r="A38" s="67">
        <f>IF(B38&lt;&gt;"",COUNTA($B$2:B38),"")</f>
        <v>37</v>
      </c>
      <c r="B38" s="68" t="s">
        <v>45</v>
      </c>
      <c r="C38" s="63" t="s">
        <v>46</v>
      </c>
      <c r="D38" s="6">
        <f>星取表!O57</f>
        <v>0</v>
      </c>
      <c r="E38" s="5">
        <f>星取表!P57</f>
        <v>0</v>
      </c>
      <c r="F38" s="5">
        <f>星取表!Q57</f>
        <v>0</v>
      </c>
      <c r="G38" s="5">
        <f>星取表!R57</f>
        <v>0</v>
      </c>
      <c r="H38" s="5">
        <f>星取表!S57</f>
        <v>0</v>
      </c>
      <c r="I38" s="5">
        <f>星取表!T57</f>
        <v>0</v>
      </c>
      <c r="J38" s="5">
        <f>星取表!U57</f>
        <v>0</v>
      </c>
      <c r="K38" s="5">
        <f t="shared" si="1"/>
        <v>1000000019</v>
      </c>
    </row>
    <row r="39" spans="1:11" ht="30" customHeight="1">
      <c r="A39" s="69">
        <f>IF(B39&lt;&gt;"",COUNTA($B$2:B39),"")</f>
        <v>38</v>
      </c>
      <c r="B39" s="70" t="s">
        <v>47</v>
      </c>
      <c r="C39" s="64" t="s">
        <v>46</v>
      </c>
      <c r="D39" s="6">
        <f>星取表!O58</f>
        <v>0</v>
      </c>
      <c r="E39" s="5">
        <f>星取表!P58</f>
        <v>0</v>
      </c>
      <c r="F39" s="5">
        <f>星取表!Q58</f>
        <v>0</v>
      </c>
      <c r="G39" s="5">
        <f>星取表!R58</f>
        <v>0</v>
      </c>
      <c r="H39" s="5">
        <f>星取表!S58</f>
        <v>0</v>
      </c>
      <c r="I39" s="5">
        <f>星取表!T58</f>
        <v>0</v>
      </c>
      <c r="J39" s="5">
        <f>星取表!U58</f>
        <v>0</v>
      </c>
      <c r="K39" s="5">
        <f t="shared" si="1"/>
        <v>1000000018</v>
      </c>
    </row>
    <row r="40" spans="1:11" ht="30" customHeight="1">
      <c r="A40" s="71">
        <f>IF(B40&lt;&gt;"",COUNTA($B$2:B40),"")</f>
        <v>39</v>
      </c>
      <c r="B40" s="72" t="s">
        <v>115</v>
      </c>
      <c r="C40" s="65" t="s">
        <v>46</v>
      </c>
      <c r="D40" s="6">
        <f>星取表!O59</f>
        <v>0</v>
      </c>
      <c r="E40" s="5">
        <f>星取表!P59</f>
        <v>0</v>
      </c>
      <c r="F40" s="5">
        <f>星取表!Q59</f>
        <v>0</v>
      </c>
      <c r="G40" s="5">
        <f>星取表!R59</f>
        <v>0</v>
      </c>
      <c r="H40" s="5">
        <f>星取表!S59</f>
        <v>0</v>
      </c>
      <c r="I40" s="5">
        <f>星取表!T59</f>
        <v>0</v>
      </c>
      <c r="J40" s="5">
        <f>星取表!U59</f>
        <v>0</v>
      </c>
      <c r="K40" s="5">
        <f t="shared" si="1"/>
        <v>1000000017</v>
      </c>
    </row>
    <row r="41" spans="1:11" ht="30" customHeight="1" thickBot="1">
      <c r="A41" s="73">
        <f>IF(B41&lt;&gt;"",COUNTA($B$2:B41),"")</f>
        <v>40</v>
      </c>
      <c r="B41" s="74" t="s">
        <v>48</v>
      </c>
      <c r="C41" s="66" t="s">
        <v>46</v>
      </c>
      <c r="D41" s="6">
        <f>星取表!O60</f>
        <v>0</v>
      </c>
      <c r="E41" s="5">
        <f>星取表!P60</f>
        <v>0</v>
      </c>
      <c r="F41" s="5">
        <f>星取表!Q60</f>
        <v>0</v>
      </c>
      <c r="G41" s="5">
        <f>星取表!R60</f>
        <v>0</v>
      </c>
      <c r="H41" s="5">
        <f>星取表!S60</f>
        <v>0</v>
      </c>
      <c r="I41" s="5">
        <f>星取表!T60</f>
        <v>0</v>
      </c>
      <c r="J41" s="5">
        <f>星取表!U60</f>
        <v>0</v>
      </c>
      <c r="K41" s="5">
        <f t="shared" si="1"/>
        <v>1000000016</v>
      </c>
    </row>
    <row r="42" spans="1:11" ht="30" customHeight="1" thickTop="1">
      <c r="A42" s="67">
        <f>IF(B42&lt;&gt;"",COUNTA($B$2:B42),"")</f>
        <v>41</v>
      </c>
      <c r="B42" s="68" t="s">
        <v>49</v>
      </c>
      <c r="C42" s="63" t="s">
        <v>50</v>
      </c>
      <c r="D42" s="6">
        <f>星取表!O63</f>
        <v>0</v>
      </c>
      <c r="E42" s="5">
        <f>星取表!P63</f>
        <v>0</v>
      </c>
      <c r="F42" s="5">
        <f>星取表!Q63</f>
        <v>0</v>
      </c>
      <c r="G42" s="5">
        <f>星取表!R63</f>
        <v>0</v>
      </c>
      <c r="H42" s="5">
        <f>星取表!S63</f>
        <v>0</v>
      </c>
      <c r="I42" s="5">
        <f>星取表!T63</f>
        <v>0</v>
      </c>
      <c r="J42" s="5">
        <f>星取表!U63</f>
        <v>0</v>
      </c>
      <c r="K42" s="5">
        <f t="shared" si="1"/>
        <v>1000000015</v>
      </c>
    </row>
    <row r="43" spans="1:11" ht="30" customHeight="1">
      <c r="A43" s="69">
        <f>IF(B43&lt;&gt;"",COUNTA($B$2:B43),"")</f>
        <v>42</v>
      </c>
      <c r="B43" s="70" t="s">
        <v>51</v>
      </c>
      <c r="C43" s="64" t="s">
        <v>50</v>
      </c>
      <c r="D43" s="6">
        <f>星取表!O64</f>
        <v>0</v>
      </c>
      <c r="E43" s="5">
        <f>星取表!P64</f>
        <v>0</v>
      </c>
      <c r="F43" s="5">
        <f>星取表!Q64</f>
        <v>0</v>
      </c>
      <c r="G43" s="5">
        <f>星取表!R64</f>
        <v>0</v>
      </c>
      <c r="H43" s="5">
        <f>星取表!S64</f>
        <v>0</v>
      </c>
      <c r="I43" s="5">
        <f>星取表!T64</f>
        <v>0</v>
      </c>
      <c r="J43" s="5">
        <f>星取表!U64</f>
        <v>0</v>
      </c>
      <c r="K43" s="5">
        <f t="shared" si="1"/>
        <v>1000000014</v>
      </c>
    </row>
    <row r="44" spans="1:11" ht="30" customHeight="1">
      <c r="A44" s="71">
        <f>IF(B44&lt;&gt;"",COUNTA($B$2:B44),"")</f>
        <v>43</v>
      </c>
      <c r="B44" s="72" t="s">
        <v>116</v>
      </c>
      <c r="C44" s="65" t="s">
        <v>50</v>
      </c>
      <c r="D44" s="6">
        <f>星取表!O65</f>
        <v>0</v>
      </c>
      <c r="E44" s="5">
        <f>星取表!P65</f>
        <v>0</v>
      </c>
      <c r="F44" s="5">
        <f>星取表!Q65</f>
        <v>0</v>
      </c>
      <c r="G44" s="5">
        <f>星取表!R65</f>
        <v>0</v>
      </c>
      <c r="H44" s="5">
        <f>星取表!S65</f>
        <v>0</v>
      </c>
      <c r="I44" s="5">
        <f>星取表!T65</f>
        <v>0</v>
      </c>
      <c r="J44" s="5">
        <f>星取表!U65</f>
        <v>0</v>
      </c>
      <c r="K44" s="5">
        <f t="shared" si="1"/>
        <v>1000000013</v>
      </c>
    </row>
    <row r="45" spans="1:11" ht="30" customHeight="1" thickBot="1">
      <c r="A45" s="73">
        <f>IF(B45&lt;&gt;"",COUNTA($B$2:B45),"")</f>
        <v>44</v>
      </c>
      <c r="B45" s="74" t="s">
        <v>52</v>
      </c>
      <c r="C45" s="66" t="s">
        <v>50</v>
      </c>
      <c r="D45" s="6">
        <f>星取表!O66</f>
        <v>0</v>
      </c>
      <c r="E45" s="5">
        <f>星取表!P66</f>
        <v>0</v>
      </c>
      <c r="F45" s="5">
        <f>星取表!Q66</f>
        <v>0</v>
      </c>
      <c r="G45" s="5">
        <f>星取表!R66</f>
        <v>0</v>
      </c>
      <c r="H45" s="5">
        <f>星取表!S66</f>
        <v>0</v>
      </c>
      <c r="I45" s="5">
        <f>星取表!T66</f>
        <v>0</v>
      </c>
      <c r="J45" s="5">
        <f>星取表!U66</f>
        <v>0</v>
      </c>
      <c r="K45" s="5">
        <f t="shared" si="1"/>
        <v>1000000012</v>
      </c>
    </row>
    <row r="46" spans="1:11" ht="30" customHeight="1" thickTop="1">
      <c r="A46" s="67">
        <f>IF(B46&lt;&gt;"",COUNTA($B$2:B46),"")</f>
        <v>45</v>
      </c>
      <c r="B46" s="68" t="s">
        <v>53</v>
      </c>
      <c r="C46" s="63" t="s">
        <v>54</v>
      </c>
      <c r="D46" s="6">
        <f>星取表!O69</f>
        <v>0</v>
      </c>
      <c r="E46" s="5">
        <f>星取表!P69</f>
        <v>0</v>
      </c>
      <c r="F46" s="5">
        <f>星取表!Q69</f>
        <v>0</v>
      </c>
      <c r="G46" s="5">
        <f>星取表!R69</f>
        <v>0</v>
      </c>
      <c r="H46" s="5">
        <f>星取表!S69</f>
        <v>0</v>
      </c>
      <c r="I46" s="5">
        <f>星取表!T69</f>
        <v>0</v>
      </c>
      <c r="J46" s="5">
        <f>星取表!U69</f>
        <v>0</v>
      </c>
      <c r="K46" s="5">
        <f t="shared" si="1"/>
        <v>1000000011</v>
      </c>
    </row>
    <row r="47" spans="1:11" ht="30" customHeight="1">
      <c r="A47" s="69">
        <f>IF(B47&lt;&gt;"",COUNTA($B$2:B47),"")</f>
        <v>46</v>
      </c>
      <c r="B47" s="70" t="s">
        <v>55</v>
      </c>
      <c r="C47" s="64" t="s">
        <v>54</v>
      </c>
      <c r="D47" s="6">
        <f>星取表!O70</f>
        <v>0</v>
      </c>
      <c r="E47" s="5">
        <f>星取表!P70</f>
        <v>0</v>
      </c>
      <c r="F47" s="5">
        <f>星取表!Q70</f>
        <v>0</v>
      </c>
      <c r="G47" s="5">
        <f>星取表!R70</f>
        <v>0</v>
      </c>
      <c r="H47" s="5">
        <f>星取表!S70</f>
        <v>0</v>
      </c>
      <c r="I47" s="5">
        <f>星取表!T70</f>
        <v>0</v>
      </c>
      <c r="J47" s="5">
        <f>星取表!U70</f>
        <v>0</v>
      </c>
      <c r="K47" s="5">
        <f t="shared" si="1"/>
        <v>1000000010</v>
      </c>
    </row>
    <row r="48" spans="1:11" ht="30" customHeight="1">
      <c r="A48" s="71">
        <f>IF(B48&lt;&gt;"",COUNTA($B$2:B48),"")</f>
        <v>47</v>
      </c>
      <c r="B48" s="72" t="s">
        <v>117</v>
      </c>
      <c r="C48" s="65" t="s">
        <v>54</v>
      </c>
      <c r="D48" s="6">
        <f>星取表!O71</f>
        <v>0</v>
      </c>
      <c r="E48" s="5">
        <f>星取表!P71</f>
        <v>0</v>
      </c>
      <c r="F48" s="5">
        <f>星取表!Q71</f>
        <v>0</v>
      </c>
      <c r="G48" s="5">
        <f>星取表!R71</f>
        <v>0</v>
      </c>
      <c r="H48" s="5">
        <f>星取表!S71</f>
        <v>0</v>
      </c>
      <c r="I48" s="5">
        <f>星取表!T71</f>
        <v>0</v>
      </c>
      <c r="J48" s="5">
        <f>星取表!U71</f>
        <v>0</v>
      </c>
      <c r="K48" s="5">
        <f t="shared" si="1"/>
        <v>1000000009</v>
      </c>
    </row>
    <row r="49" spans="1:11" ht="30" customHeight="1" thickBot="1">
      <c r="A49" s="73">
        <f>IF(B49&lt;&gt;"",COUNTA($B$2:B49),"")</f>
        <v>48</v>
      </c>
      <c r="B49" s="74" t="s">
        <v>56</v>
      </c>
      <c r="C49" s="66" t="s">
        <v>54</v>
      </c>
      <c r="D49" s="6">
        <f>星取表!O72</f>
        <v>0</v>
      </c>
      <c r="E49" s="5">
        <f>星取表!P72</f>
        <v>0</v>
      </c>
      <c r="F49" s="5">
        <f>星取表!Q72</f>
        <v>0</v>
      </c>
      <c r="G49" s="5">
        <f>星取表!R72</f>
        <v>0</v>
      </c>
      <c r="H49" s="5">
        <f>星取表!S72</f>
        <v>0</v>
      </c>
      <c r="I49" s="5">
        <f>星取表!T72</f>
        <v>0</v>
      </c>
      <c r="J49" s="5">
        <f>星取表!U72</f>
        <v>0</v>
      </c>
      <c r="K49" s="5">
        <f t="shared" si="1"/>
        <v>1000000008</v>
      </c>
    </row>
    <row r="50" spans="1:11" ht="30" customHeight="1" thickTop="1">
      <c r="A50" s="67">
        <f>IF(B50&lt;&gt;"",COUNTA($B$2:B50),"")</f>
        <v>49</v>
      </c>
      <c r="B50" s="68" t="s">
        <v>57</v>
      </c>
      <c r="C50" s="63" t="s">
        <v>58</v>
      </c>
      <c r="D50" s="6">
        <f>星取表!O75</f>
        <v>0</v>
      </c>
      <c r="E50" s="5">
        <f>星取表!P75</f>
        <v>0</v>
      </c>
      <c r="F50" s="5">
        <f>星取表!Q75</f>
        <v>0</v>
      </c>
      <c r="G50" s="5">
        <f>星取表!R75</f>
        <v>0</v>
      </c>
      <c r="H50" s="5">
        <f>星取表!S75</f>
        <v>0</v>
      </c>
      <c r="I50" s="5">
        <f>星取表!T75</f>
        <v>0</v>
      </c>
      <c r="J50" s="5">
        <f>星取表!U75</f>
        <v>0</v>
      </c>
      <c r="K50" s="5">
        <f t="shared" si="1"/>
        <v>1000000007</v>
      </c>
    </row>
    <row r="51" spans="1:11" ht="30" customHeight="1">
      <c r="A51" s="69">
        <f>IF(B51&lt;&gt;"",COUNTA($B$2:B51),"")</f>
        <v>50</v>
      </c>
      <c r="B51" s="70" t="s">
        <v>59</v>
      </c>
      <c r="C51" s="64" t="s">
        <v>58</v>
      </c>
      <c r="D51" s="6">
        <f>星取表!O76</f>
        <v>0</v>
      </c>
      <c r="E51" s="5">
        <f>星取表!P76</f>
        <v>0</v>
      </c>
      <c r="F51" s="5">
        <f>星取表!Q76</f>
        <v>0</v>
      </c>
      <c r="G51" s="5">
        <f>星取表!R76</f>
        <v>0</v>
      </c>
      <c r="H51" s="5">
        <f>星取表!S76</f>
        <v>0</v>
      </c>
      <c r="I51" s="5">
        <f>星取表!T76</f>
        <v>0</v>
      </c>
      <c r="J51" s="5">
        <f>星取表!U76</f>
        <v>0</v>
      </c>
      <c r="K51" s="5">
        <f t="shared" si="1"/>
        <v>1000000006</v>
      </c>
    </row>
    <row r="52" spans="1:11" ht="30" customHeight="1">
      <c r="A52" s="71">
        <f>IF(B52&lt;&gt;"",COUNTA($B$2:B52),"")</f>
        <v>51</v>
      </c>
      <c r="B52" s="72" t="s">
        <v>118</v>
      </c>
      <c r="C52" s="65" t="s">
        <v>58</v>
      </c>
      <c r="D52" s="6">
        <f>星取表!O77</f>
        <v>0</v>
      </c>
      <c r="E52" s="5">
        <f>星取表!P77</f>
        <v>0</v>
      </c>
      <c r="F52" s="5">
        <f>星取表!Q77</f>
        <v>0</v>
      </c>
      <c r="G52" s="5">
        <f>星取表!R77</f>
        <v>0</v>
      </c>
      <c r="H52" s="5">
        <f>星取表!S77</f>
        <v>0</v>
      </c>
      <c r="I52" s="5">
        <f>星取表!T77</f>
        <v>0</v>
      </c>
      <c r="J52" s="5">
        <f>星取表!U77</f>
        <v>0</v>
      </c>
      <c r="K52" s="5">
        <f t="shared" si="1"/>
        <v>1000000005</v>
      </c>
    </row>
    <row r="53" spans="1:11" ht="30" customHeight="1" thickBot="1">
      <c r="A53" s="73">
        <f>IF(B53&lt;&gt;"",COUNTA($B$2:B53),"")</f>
        <v>52</v>
      </c>
      <c r="B53" s="74" t="s">
        <v>60</v>
      </c>
      <c r="C53" s="66" t="s">
        <v>58</v>
      </c>
      <c r="D53" s="6">
        <f>星取表!O78</f>
        <v>0</v>
      </c>
      <c r="E53" s="5">
        <f>星取表!P78</f>
        <v>0</v>
      </c>
      <c r="F53" s="5">
        <f>星取表!Q78</f>
        <v>0</v>
      </c>
      <c r="G53" s="5">
        <f>星取表!R78</f>
        <v>0</v>
      </c>
      <c r="H53" s="5">
        <f>星取表!S78</f>
        <v>0</v>
      </c>
      <c r="I53" s="5">
        <f>星取表!T78</f>
        <v>0</v>
      </c>
      <c r="J53" s="5">
        <f>星取表!U78</f>
        <v>0</v>
      </c>
      <c r="K53" s="5">
        <f t="shared" si="1"/>
        <v>1000000004</v>
      </c>
    </row>
    <row r="54" spans="1:11" ht="30" customHeight="1" thickTop="1">
      <c r="A54" s="67">
        <f>IF(B54&lt;&gt;"",COUNTA($B$2:B54),"")</f>
        <v>53</v>
      </c>
      <c r="B54" s="68" t="s">
        <v>61</v>
      </c>
      <c r="C54" s="63" t="s">
        <v>62</v>
      </c>
      <c r="D54" s="6">
        <f>星取表!O81</f>
        <v>0</v>
      </c>
      <c r="E54" s="5">
        <f>星取表!P81</f>
        <v>0</v>
      </c>
      <c r="F54" s="5">
        <f>星取表!Q81</f>
        <v>0</v>
      </c>
      <c r="G54" s="5">
        <f>星取表!R81</f>
        <v>0</v>
      </c>
      <c r="H54" s="5">
        <f>星取表!S81</f>
        <v>0</v>
      </c>
      <c r="I54" s="5">
        <f>星取表!T81</f>
        <v>0</v>
      </c>
      <c r="J54" s="5">
        <f>星取表!U81</f>
        <v>0</v>
      </c>
      <c r="K54" s="5">
        <f t="shared" si="1"/>
        <v>1000000003</v>
      </c>
    </row>
    <row r="55" spans="1:11" ht="30" customHeight="1">
      <c r="A55" s="69">
        <f>IF(B55&lt;&gt;"",COUNTA($B$2:B55),"")</f>
        <v>54</v>
      </c>
      <c r="B55" s="70" t="s">
        <v>63</v>
      </c>
      <c r="C55" s="64" t="s">
        <v>62</v>
      </c>
      <c r="D55" s="6">
        <f>星取表!O82</f>
        <v>0</v>
      </c>
      <c r="E55" s="5">
        <f>星取表!P82</f>
        <v>0</v>
      </c>
      <c r="F55" s="5">
        <f>星取表!Q82</f>
        <v>0</v>
      </c>
      <c r="G55" s="5">
        <f>星取表!R82</f>
        <v>0</v>
      </c>
      <c r="H55" s="5">
        <f>星取表!S82</f>
        <v>0</v>
      </c>
      <c r="I55" s="5">
        <f>星取表!T82</f>
        <v>0</v>
      </c>
      <c r="J55" s="5">
        <f>星取表!U82</f>
        <v>0</v>
      </c>
      <c r="K55" s="5">
        <f t="shared" si="1"/>
        <v>1000000002</v>
      </c>
    </row>
    <row r="56" spans="1:11" ht="30" customHeight="1">
      <c r="A56" s="71">
        <f>IF(B56&lt;&gt;"",COUNTA($B$2:B56),"")</f>
        <v>55</v>
      </c>
      <c r="B56" s="72" t="s">
        <v>119</v>
      </c>
      <c r="C56" s="65" t="s">
        <v>62</v>
      </c>
      <c r="D56" s="6">
        <f>星取表!O83</f>
        <v>0</v>
      </c>
      <c r="E56" s="5">
        <f>星取表!P83</f>
        <v>0</v>
      </c>
      <c r="F56" s="5">
        <f>星取表!Q83</f>
        <v>0</v>
      </c>
      <c r="G56" s="5">
        <f>星取表!R83</f>
        <v>0</v>
      </c>
      <c r="H56" s="5">
        <f>星取表!S83</f>
        <v>0</v>
      </c>
      <c r="I56" s="5">
        <f>星取表!T83</f>
        <v>0</v>
      </c>
      <c r="J56" s="5">
        <f>星取表!U83</f>
        <v>0</v>
      </c>
      <c r="K56" s="5">
        <f t="shared" si="1"/>
        <v>1000000001</v>
      </c>
    </row>
    <row r="57" spans="1:11" ht="30" customHeight="1" thickBot="1">
      <c r="A57" s="73">
        <f>IF(B57&lt;&gt;"",COUNTA($B$2:B57),"")</f>
        <v>56</v>
      </c>
      <c r="B57" s="74" t="s">
        <v>64</v>
      </c>
      <c r="C57" s="66" t="s">
        <v>62</v>
      </c>
      <c r="D57" s="6">
        <f>星取表!O84</f>
        <v>0</v>
      </c>
      <c r="E57" s="5">
        <f>星取表!P84</f>
        <v>0</v>
      </c>
      <c r="F57" s="5">
        <f>星取表!Q84</f>
        <v>0</v>
      </c>
      <c r="G57" s="5">
        <f>星取表!R84</f>
        <v>0</v>
      </c>
      <c r="H57" s="5">
        <f>星取表!S84</f>
        <v>0</v>
      </c>
      <c r="I57" s="5">
        <f>星取表!T84</f>
        <v>0</v>
      </c>
      <c r="J57" s="5">
        <f>星取表!U84</f>
        <v>0</v>
      </c>
      <c r="K57" s="5">
        <f t="shared" si="1"/>
        <v>1000000000</v>
      </c>
    </row>
    <row r="58" spans="1:11" ht="19.5" thickTop="1"/>
  </sheetData>
  <sheetProtection sheet="1" objects="1" scenarios="1"/>
  <phoneticPr fontId="3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5"/>
  <sheetViews>
    <sheetView zoomScale="70" zoomScaleNormal="70" workbookViewId="0">
      <selection activeCell="L4" sqref="L4"/>
    </sheetView>
  </sheetViews>
  <sheetFormatPr defaultColWidth="8.5" defaultRowHeight="18.75"/>
  <cols>
    <col min="1" max="1" width="2.25" style="9" customWidth="1"/>
    <col min="2" max="2" width="14" style="9" customWidth="1"/>
    <col min="3" max="14" width="5" style="9" customWidth="1"/>
    <col min="15" max="21" width="6" style="9" customWidth="1"/>
    <col min="22" max="22" width="6" style="58" customWidth="1"/>
    <col min="23" max="16384" width="8.5" style="10"/>
  </cols>
  <sheetData>
    <row r="1" spans="1:22" ht="17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 t="s">
        <v>65</v>
      </c>
      <c r="P1" s="12" t="s">
        <v>66</v>
      </c>
      <c r="Q1" s="12" t="s">
        <v>67</v>
      </c>
      <c r="R1" s="11"/>
      <c r="S1" s="11"/>
      <c r="T1" s="11"/>
      <c r="U1" s="11"/>
      <c r="V1" s="56"/>
    </row>
    <row r="2" spans="1:22" ht="35.25" customHeight="1">
      <c r="A2" s="11"/>
      <c r="B2" s="59" t="s">
        <v>68</v>
      </c>
      <c r="C2" s="78" t="str">
        <f>B3</f>
        <v>チームA-１</v>
      </c>
      <c r="D2" s="78"/>
      <c r="E2" s="78"/>
      <c r="F2" s="78" t="str">
        <f>B4</f>
        <v>チームA-2</v>
      </c>
      <c r="G2" s="78"/>
      <c r="H2" s="78"/>
      <c r="I2" s="78" t="str">
        <f>B5</f>
        <v>チームA-3</v>
      </c>
      <c r="J2" s="78"/>
      <c r="K2" s="78"/>
      <c r="L2" s="78" t="str">
        <f>B6</f>
        <v>チームA-4</v>
      </c>
      <c r="M2" s="78"/>
      <c r="N2" s="78"/>
      <c r="O2" s="1" t="s">
        <v>3</v>
      </c>
      <c r="P2" s="1" t="s">
        <v>4</v>
      </c>
      <c r="Q2" s="13" t="s">
        <v>5</v>
      </c>
      <c r="R2" s="14" t="s">
        <v>6</v>
      </c>
      <c r="S2" s="15" t="s">
        <v>7</v>
      </c>
      <c r="T2" s="1" t="s">
        <v>8</v>
      </c>
      <c r="U2" s="1" t="s">
        <v>9</v>
      </c>
      <c r="V2" s="57" t="s">
        <v>69</v>
      </c>
    </row>
    <row r="3" spans="1:22" ht="21.75" customHeight="1">
      <c r="A3" s="11"/>
      <c r="B3" s="16" t="str">
        <f>IF(date!B2="","",date!B2)</f>
        <v>チームA-１</v>
      </c>
      <c r="C3" s="77"/>
      <c r="D3" s="77"/>
      <c r="E3" s="77"/>
      <c r="F3" s="17"/>
      <c r="G3" s="18" t="s">
        <v>70</v>
      </c>
      <c r="H3" s="17"/>
      <c r="I3" s="17"/>
      <c r="J3" s="18" t="s">
        <v>70</v>
      </c>
      <c r="K3" s="17"/>
      <c r="L3" s="17"/>
      <c r="M3" s="18" t="s">
        <v>70</v>
      </c>
      <c r="N3" s="17"/>
      <c r="O3" s="19">
        <f>IF(B3="","",(ISNUMBER(F3)*ISNUMBER(H3)*(F3&gt;H3))+(ISNUMBER(I3)*ISNUMBER(K3)*(I3&gt;K3))+(ISNUMBER(L3)*ISNUMBER(N3)*(L3&gt;N3)))</f>
        <v>0</v>
      </c>
      <c r="P3" s="19">
        <f>IF(B3="","",(ISNUMBER(F3)*ISNUMBER(H3)*(F3=H3))+(ISNUMBER(I3)*ISNUMBER(K3)*(I3=K3))+(ISNUMBER(L3)*ISNUMBER(N3)*(L3=N3)))</f>
        <v>0</v>
      </c>
      <c r="Q3" s="20">
        <f>IF(B3="","",(ISNUMBER(F3)*ISNUMBER(H3)*(F3&lt;H3))+(ISNUMBER(I3)*ISNUMBER(K3)*(I3&lt;K3))+(ISNUMBER(L3)*ISNUMBER(N3)*(L3&lt;N3)))</f>
        <v>0</v>
      </c>
      <c r="R3" s="21">
        <f>IF(B3="","",O3*3+P3)</f>
        <v>0</v>
      </c>
      <c r="S3" s="22">
        <f>IF(B3="","",IF(ISNUMBER(F3)*ISNUMBER(H3),F3,0)+IF(ISNUMBER(I3)*ISNUMBER(K3),I3,0)+IF(ISNUMBER(L3)*ISNUMBER(N3),L3,0))</f>
        <v>0</v>
      </c>
      <c r="T3" s="19">
        <f>IF(B3="","",IF(ISNUMBER(F3)*ISNUMBER(H3),H3,0)+IF(ISNUMBER(I3)*ISNUMBER(K3),K3,0)+IF(ISNUMBER(L3)*ISNUMBER(N3),N3,0))</f>
        <v>0</v>
      </c>
      <c r="U3" s="19">
        <f>IF(B3="","",S3-T3)</f>
        <v>0</v>
      </c>
      <c r="V3" s="54">
        <f>IF(B3="","",(B4&lt;&gt;"")*((R4&gt;R3)*1+(R4=R3)*(U4&gt;U3)*1+(R4=R3)*(U4=U3)*(S4&gt;S3)*1)+(B5&lt;&gt;"")*((R5&gt;R3)*1+(R5=R3)*(U5&gt;U3)*1+(R5=R3)*(U5=U3)*(S5&gt;S3)*1)+(B6&lt;&gt;"")*((R6&gt;R3)*1+(R6=R3)*(U6&gt;U3)*1+(R6=R3)*(U6=U3)*(S6&gt;S3)*1)+1)</f>
        <v>1</v>
      </c>
    </row>
    <row r="4" spans="1:22" ht="21.75" customHeight="1">
      <c r="A4" s="11"/>
      <c r="B4" s="16" t="str">
        <f>IF(date!B3="","",date!B3)</f>
        <v>チームA-2</v>
      </c>
      <c r="C4" s="23" t="str">
        <f>IF(H3="","",H3)</f>
        <v/>
      </c>
      <c r="D4" s="18" t="s">
        <v>70</v>
      </c>
      <c r="E4" s="23" t="str">
        <f>IF(F3="","",F3)</f>
        <v/>
      </c>
      <c r="F4" s="77"/>
      <c r="G4" s="77"/>
      <c r="H4" s="77"/>
      <c r="I4" s="17"/>
      <c r="J4" s="18" t="s">
        <v>70</v>
      </c>
      <c r="K4" s="17"/>
      <c r="L4" s="17"/>
      <c r="M4" s="18" t="s">
        <v>70</v>
      </c>
      <c r="N4" s="17"/>
      <c r="O4" s="19">
        <f>IF(B4="","",(ISNUMBER(C4)*ISNUMBER(E4)*(C4&gt;E4))+(ISNUMBER(I4)*ISNUMBER(K4)*(I4&gt;K4))+(ISNUMBER(L4)*ISNUMBER(N4)*(L4&gt;N4)))</f>
        <v>0</v>
      </c>
      <c r="P4" s="19">
        <f>IF(B4="","",(ISNUMBER(C4)*ISNUMBER(E4)*(C4=E4))+(ISNUMBER(I4)*ISNUMBER(K4)*(I4=K4))+(ISNUMBER(L4)*ISNUMBER(N4)*(L4=N4)))</f>
        <v>0</v>
      </c>
      <c r="Q4" s="20">
        <f>IF(B4="","",(ISNUMBER(C4)*ISNUMBER(E4)*(C4&lt;E4))+(ISNUMBER(I4)*ISNUMBER(K4)*(I4&lt;K4))+(ISNUMBER(L4)*ISNUMBER(N4)*(L4&lt;N4)))</f>
        <v>0</v>
      </c>
      <c r="R4" s="21">
        <f>IF(B4="","",O4*3+P4)</f>
        <v>0</v>
      </c>
      <c r="S4" s="22">
        <f>IF(B4="","",IF(ISNUMBER(C4)*ISNUMBER(E4),C4,0)+IF(ISNUMBER(I4)*ISNUMBER(K4),I4,0)+IF(ISNUMBER(L4)*ISNUMBER(N4),L4,0))</f>
        <v>0</v>
      </c>
      <c r="T4" s="19">
        <f>IF(B4="","",IF(ISNUMBER(C4)*ISNUMBER(E4),E4,0)+IF(ISNUMBER(I4)*ISNUMBER(K4),K4,0)+IF(ISNUMBER(L4)*ISNUMBER(N4),N4,0))</f>
        <v>0</v>
      </c>
      <c r="U4" s="19">
        <f>IF(B4="","",S4-T4)</f>
        <v>0</v>
      </c>
      <c r="V4" s="54">
        <f>IF(B4="","",(B3&lt;&gt;"")*((R3&gt;R4)*1+(R3=R4)*(U3&gt;U4)*1+(R3=R4)*(U3=U4)*(S3&gt;S4)*1)+(B5&lt;&gt;"")*((R5&gt;R4)*1+(R5=R4)*(U5&gt;U4)*1+(R5=R4)*(U5=U4)*(S5&gt;S4)*1)+(B6&lt;&gt;"")*((R6&gt;R4)*1+(R6=R4)*(U6&gt;U4)*1+(R6=R4)*(U6=U4)*(S6&gt;S4)*1)+1)</f>
        <v>1</v>
      </c>
    </row>
    <row r="5" spans="1:22" ht="21.75" customHeight="1">
      <c r="A5" s="11"/>
      <c r="B5" s="16" t="str">
        <f>IF(date!B4="","",date!B4)</f>
        <v>チームA-3</v>
      </c>
      <c r="C5" s="23" t="str">
        <f>IF(K3="","",K3)</f>
        <v/>
      </c>
      <c r="D5" s="18" t="s">
        <v>70</v>
      </c>
      <c r="E5" s="23" t="str">
        <f>IF(I3="","",I3)</f>
        <v/>
      </c>
      <c r="F5" s="23" t="str">
        <f>IF(K4="","",K4)</f>
        <v/>
      </c>
      <c r="G5" s="18" t="s">
        <v>70</v>
      </c>
      <c r="H5" s="23" t="str">
        <f>IF(I4="","",I4)</f>
        <v/>
      </c>
      <c r="I5" s="77"/>
      <c r="J5" s="77"/>
      <c r="K5" s="77"/>
      <c r="L5" s="17"/>
      <c r="M5" s="18" t="s">
        <v>70</v>
      </c>
      <c r="N5" s="17"/>
      <c r="O5" s="19">
        <f>IF(B5="","",(ISNUMBER(C5)*ISNUMBER(E5)*(C5&gt;E5))+(ISNUMBER(F5)*ISNUMBER(H5)*(F5&gt;H5))+(ISNUMBER(L5)*ISNUMBER(N5)*(L5&gt;N5)))</f>
        <v>0</v>
      </c>
      <c r="P5" s="19">
        <f>IF(B5="","",(ISNUMBER(C5)*ISNUMBER(E5)*(C5=E5))+(ISNUMBER(F5)*ISNUMBER(H5)*(F5=H5))+(ISNUMBER(L5)*ISNUMBER(N5)*(L5=N5)))</f>
        <v>0</v>
      </c>
      <c r="Q5" s="20">
        <f>IF(B5="","",(ISNUMBER(C5)*ISNUMBER(E5)*(C5&lt;E5))+(ISNUMBER(F5)*ISNUMBER(H5)*(F5&lt;H5))+(ISNUMBER(L5)*ISNUMBER(N5)*(L5&lt;N5)))</f>
        <v>0</v>
      </c>
      <c r="R5" s="21">
        <f>IF(B5="","",O5*3+P5)</f>
        <v>0</v>
      </c>
      <c r="S5" s="22">
        <f>IF(B5="","",IF(ISNUMBER(C5)*ISNUMBER(E5),C5,0)+IF(ISNUMBER(F5)*ISNUMBER(H5),F5,0)+IF(ISNUMBER(L5)*ISNUMBER(N5),L5,0))</f>
        <v>0</v>
      </c>
      <c r="T5" s="19">
        <f>IF(B5="","",IF(ISNUMBER(C5)*ISNUMBER(E5),E5,0)+IF(ISNUMBER(F5)*ISNUMBER(H5),H5,0)+IF(ISNUMBER(L5)*ISNUMBER(N5),N5,0))</f>
        <v>0</v>
      </c>
      <c r="U5" s="19">
        <f>IF(B5="","",S5-T5)</f>
        <v>0</v>
      </c>
      <c r="V5" s="54">
        <f>IF(B5="","",(B3&lt;&gt;"")*((R3&gt;R5)*1+(R3=R5)*(U3&gt;U5)*1+(R3=R5)*(U3=U5)*(S3&gt;S5)*1)+(B4&lt;&gt;"")*((R4&gt;R5)*1+(R4=R5)*(U4&gt;U5)*1+(R4=R5)*(U4=U5)*(S4&gt;S5)*1)+(B6&lt;&gt;"")*((R6&gt;R5)*1+(R6=R5)*(U6&gt;U5)*1+(R6=R5)*(U6=U5)*(S6&gt;S5)*1)+1)</f>
        <v>1</v>
      </c>
    </row>
    <row r="6" spans="1:22" ht="21.75" customHeight="1">
      <c r="A6" s="11"/>
      <c r="B6" s="16" t="str">
        <f>IF(date!B5="","",date!B5)</f>
        <v>チームA-4</v>
      </c>
      <c r="C6" s="23" t="str">
        <f>IF(N3="","",N3)</f>
        <v/>
      </c>
      <c r="D6" s="18" t="s">
        <v>70</v>
      </c>
      <c r="E6" s="23" t="str">
        <f>IF(L3="","",L3)</f>
        <v/>
      </c>
      <c r="F6" s="23" t="str">
        <f>IF(N4="","",N4)</f>
        <v/>
      </c>
      <c r="G6" s="18" t="s">
        <v>70</v>
      </c>
      <c r="H6" s="23" t="str">
        <f>IF(L4="","",L4)</f>
        <v/>
      </c>
      <c r="I6" s="23" t="str">
        <f>IF(N5="","",N5)</f>
        <v/>
      </c>
      <c r="J6" s="18" t="s">
        <v>70</v>
      </c>
      <c r="K6" s="23" t="str">
        <f>IF(L5="","",L5)</f>
        <v/>
      </c>
      <c r="L6" s="77"/>
      <c r="M6" s="77"/>
      <c r="N6" s="77"/>
      <c r="O6" s="19">
        <f>IF(B6="","",(ISNUMBER(C6)*ISNUMBER(E6)*(C6&gt;E6))+(ISNUMBER(F6)*ISNUMBER(H6)*(F6&gt;H6))+(ISNUMBER(I6)*ISNUMBER(K6)*(I6&gt;K6)))</f>
        <v>0</v>
      </c>
      <c r="P6" s="19">
        <f>IF(B6="","",(ISNUMBER(C6)*ISNUMBER(E6)*(C6=E6))+(ISNUMBER(F6)*ISNUMBER(H6)*(F6=H6))+(ISNUMBER(I6)*ISNUMBER(K6)*(I6=K6)))</f>
        <v>0</v>
      </c>
      <c r="Q6" s="20">
        <f>IF(B6="","",(ISNUMBER(C6)*ISNUMBER(E6)*(C6&lt;E6))+(ISNUMBER(F6)*ISNUMBER(H6)*(F6&lt;H6))+(ISNUMBER(I6)*ISNUMBER(K6)*(I6&lt;K6)))</f>
        <v>0</v>
      </c>
      <c r="R6" s="24">
        <f>IF(B6="","",O6*3+P6)</f>
        <v>0</v>
      </c>
      <c r="S6" s="22">
        <f>IF(B6="","",IF(ISNUMBER(C6)*ISNUMBER(E6),C6,0)+IF(ISNUMBER(F6)*ISNUMBER(H6),F6,0)+IF(ISNUMBER(I6)*ISNUMBER(K6),I6,0))</f>
        <v>0</v>
      </c>
      <c r="T6" s="19">
        <f>IF(B6="","",IF(ISNUMBER(C6)*ISNUMBER(E6),E6,0)+IF(ISNUMBER(F6)*ISNUMBER(H6),H6,0)+IF(ISNUMBER(I6)*ISNUMBER(K6),K6,0))</f>
        <v>0</v>
      </c>
      <c r="U6" s="19">
        <f>IF(B6="","",S6-T6)</f>
        <v>0</v>
      </c>
      <c r="V6" s="55">
        <f>IF(B6="","",(B3&lt;&gt;"")*((R3&gt;R6)*1+(R3=R6)*(U3&gt;U6)*1+(R3=R6)*(U3=U6)*(S3&gt;S6)*1)+(B4&lt;&gt;"")*((R4&gt;R6)*1+(R4=R6)*(U4&gt;U6)*1+(R4=R6)*(U4=U6)*(S4&gt;S6)*1)+(B5&lt;&gt;"")*((R5&gt;R6)*1+(R5=R6)*(U5&gt;U6)*1+(R5=R6)*(U5=U6)*(S5&gt;S6)*1)+1)</f>
        <v>1</v>
      </c>
    </row>
    <row r="7" spans="1:22" ht="22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56"/>
    </row>
    <row r="8" spans="1:22" ht="30" customHeight="1">
      <c r="A8" s="11"/>
      <c r="B8" s="59" t="s">
        <v>71</v>
      </c>
      <c r="C8" s="78" t="str">
        <f>B9</f>
        <v>チームB-1</v>
      </c>
      <c r="D8" s="78"/>
      <c r="E8" s="78"/>
      <c r="F8" s="78" t="str">
        <f>B10</f>
        <v>チームB-2</v>
      </c>
      <c r="G8" s="78"/>
      <c r="H8" s="78"/>
      <c r="I8" s="78" t="str">
        <f>B11</f>
        <v>チームB-3</v>
      </c>
      <c r="J8" s="78"/>
      <c r="K8" s="78"/>
      <c r="L8" s="78" t="str">
        <f>B12</f>
        <v>チームB-4</v>
      </c>
      <c r="M8" s="78"/>
      <c r="N8" s="78"/>
      <c r="O8" s="1" t="s">
        <v>3</v>
      </c>
      <c r="P8" s="1" t="s">
        <v>4</v>
      </c>
      <c r="Q8" s="13" t="s">
        <v>5</v>
      </c>
      <c r="R8" s="14" t="s">
        <v>6</v>
      </c>
      <c r="S8" s="15" t="s">
        <v>7</v>
      </c>
      <c r="T8" s="1" t="s">
        <v>8</v>
      </c>
      <c r="U8" s="1" t="s">
        <v>9</v>
      </c>
      <c r="V8" s="57" t="s">
        <v>69</v>
      </c>
    </row>
    <row r="9" spans="1:22" ht="21.75" customHeight="1">
      <c r="A9" s="11"/>
      <c r="B9" s="16" t="str">
        <f>IF(date!B6="","",date!B6)</f>
        <v>チームB-1</v>
      </c>
      <c r="C9" s="77"/>
      <c r="D9" s="77"/>
      <c r="E9" s="77"/>
      <c r="F9" s="17"/>
      <c r="G9" s="18" t="s">
        <v>70</v>
      </c>
      <c r="H9" s="17"/>
      <c r="I9" s="17"/>
      <c r="J9" s="18" t="s">
        <v>70</v>
      </c>
      <c r="K9" s="17"/>
      <c r="L9" s="17"/>
      <c r="M9" s="18" t="s">
        <v>70</v>
      </c>
      <c r="N9" s="17"/>
      <c r="O9" s="19">
        <f>IF(B9="","",(ISNUMBER(F9)*ISNUMBER(H9)*(F9&gt;H9))+(ISNUMBER(I9)*ISNUMBER(K9)*(I9&gt;K9))+(ISNUMBER(L9)*ISNUMBER(N9)*(L9&gt;N9)))</f>
        <v>0</v>
      </c>
      <c r="P9" s="19">
        <f>IF(B9="","",(ISNUMBER(F9)*ISNUMBER(H9)*(F9=H9))+(ISNUMBER(I9)*ISNUMBER(K9)*(I9=K9))+(ISNUMBER(L9)*ISNUMBER(N9)*(L9=N9)))</f>
        <v>0</v>
      </c>
      <c r="Q9" s="20">
        <f>IF(B9="","",(ISNUMBER(F9)*ISNUMBER(H9)*(F9&lt;H9))+(ISNUMBER(I9)*ISNUMBER(K9)*(I9&lt;K9))+(ISNUMBER(L9)*ISNUMBER(N9)*(L9&lt;N9)))</f>
        <v>0</v>
      </c>
      <c r="R9" s="21">
        <f>IF(B9="","",O9*3+P9)</f>
        <v>0</v>
      </c>
      <c r="S9" s="22">
        <f>IF(B9="","",IF(ISNUMBER(F9)*ISNUMBER(H9),F9,0)+IF(ISNUMBER(I9)*ISNUMBER(K9),I9,0)+IF(ISNUMBER(L9)*ISNUMBER(N9),L9,0))</f>
        <v>0</v>
      </c>
      <c r="T9" s="19">
        <f>IF(B9="","",IF(ISNUMBER(F9)*ISNUMBER(H9),H9,0)+IF(ISNUMBER(I9)*ISNUMBER(K9),K9,0)+IF(ISNUMBER(L9)*ISNUMBER(N9),N9,0))</f>
        <v>0</v>
      </c>
      <c r="U9" s="19">
        <f>IF(B9="","",S9-T9)</f>
        <v>0</v>
      </c>
      <c r="V9" s="54">
        <f>IF(B9="","",(B10&lt;&gt;"")*((R10&gt;R9)*1+(R10=R9)*(U10&gt;U9)*1+(R10=R9)*(U10=U9)*(S10&gt;S9)*1)+(B11&lt;&gt;"")*((R11&gt;R9)*1+(R11=R9)*(U11&gt;U9)*1+(R11=R9)*(U11=U9)*(S11&gt;S9)*1)+(B12&lt;&gt;"")*((R12&gt;R9)*1+(R12=R9)*(U12&gt;U9)*1+(R12=R9)*(U12=U9)*(S12&gt;S9)*1)+1)</f>
        <v>1</v>
      </c>
    </row>
    <row r="10" spans="1:22" ht="21.75" customHeight="1">
      <c r="A10" s="11"/>
      <c r="B10" s="16" t="str">
        <f>IF(date!B7="","",date!B7)</f>
        <v>チームB-2</v>
      </c>
      <c r="C10" s="23" t="str">
        <f>IF(H9="","",H9)</f>
        <v/>
      </c>
      <c r="D10" s="18" t="s">
        <v>70</v>
      </c>
      <c r="E10" s="23" t="str">
        <f>IF(F9="","",F9)</f>
        <v/>
      </c>
      <c r="F10" s="77"/>
      <c r="G10" s="77"/>
      <c r="H10" s="77"/>
      <c r="I10" s="17"/>
      <c r="J10" s="18" t="s">
        <v>70</v>
      </c>
      <c r="K10" s="17"/>
      <c r="L10" s="17"/>
      <c r="M10" s="18" t="s">
        <v>70</v>
      </c>
      <c r="N10" s="17"/>
      <c r="O10" s="19">
        <f>IF(B10="","",(ISNUMBER(C10)*ISNUMBER(E10)*(C10&gt;E10))+(ISNUMBER(I10)*ISNUMBER(K10)*(I10&gt;K10))+(ISNUMBER(L10)*ISNUMBER(N10)*(L10&gt;N10)))</f>
        <v>0</v>
      </c>
      <c r="P10" s="19">
        <f>IF(B10="","",(ISNUMBER(C10)*ISNUMBER(E10)*(C10=E10))+(ISNUMBER(I10)*ISNUMBER(K10)*(I10=K10))+(ISNUMBER(L10)*ISNUMBER(N10)*(L10=N10)))</f>
        <v>0</v>
      </c>
      <c r="Q10" s="20">
        <f>IF(B10="","",(ISNUMBER(C10)*ISNUMBER(E10)*(C10&lt;E10))+(ISNUMBER(I10)*ISNUMBER(K10)*(I10&lt;K10))+(ISNUMBER(L10)*ISNUMBER(N10)*(L10&lt;N10)))</f>
        <v>0</v>
      </c>
      <c r="R10" s="21">
        <f>IF(B10="","",O10*3+P10)</f>
        <v>0</v>
      </c>
      <c r="S10" s="22">
        <f>IF(B10="","",IF(ISNUMBER(C10)*ISNUMBER(E10),C10,0)+IF(ISNUMBER(I10)*ISNUMBER(K10),I10,0)+IF(ISNUMBER(L10)*ISNUMBER(N10),L10,0))</f>
        <v>0</v>
      </c>
      <c r="T10" s="19">
        <f>IF(B10="","",IF(ISNUMBER(C10)*ISNUMBER(E10),E10,0)+IF(ISNUMBER(I10)*ISNUMBER(K10),K10,0)+IF(ISNUMBER(L10)*ISNUMBER(N10),N10,0))</f>
        <v>0</v>
      </c>
      <c r="U10" s="19">
        <f>IF(B10="","",S10-T10)</f>
        <v>0</v>
      </c>
      <c r="V10" s="54">
        <f>IF(B10="","",(B9&lt;&gt;"")*((R9&gt;R10)*1+(R9=R10)*(U9&gt;U10)*1+(R9=R10)*(U9=U10)*(S9&gt;S10)*1)+(B11&lt;&gt;"")*((R11&gt;R10)*1+(R11=R10)*(U11&gt;U10)*1+(R11=R10)*(U11=U10)*(S11&gt;S10)*1)+(B12&lt;&gt;"")*((R12&gt;R10)*1+(R12=R10)*(U12&gt;U10)*1+(R12=R10)*(U12=U10)*(S12&gt;S10)*1)+1)</f>
        <v>1</v>
      </c>
    </row>
    <row r="11" spans="1:22" ht="21.75" customHeight="1">
      <c r="A11" s="11"/>
      <c r="B11" s="16" t="str">
        <f>IF(date!B8="","",date!B8)</f>
        <v>チームB-3</v>
      </c>
      <c r="C11" s="23" t="str">
        <f>IF(K9="","",K9)</f>
        <v/>
      </c>
      <c r="D11" s="18" t="s">
        <v>70</v>
      </c>
      <c r="E11" s="23" t="str">
        <f>IF(I9="","",I9)</f>
        <v/>
      </c>
      <c r="F11" s="23" t="str">
        <f>IF(K10="","",K10)</f>
        <v/>
      </c>
      <c r="G11" s="18" t="s">
        <v>70</v>
      </c>
      <c r="H11" s="23" t="str">
        <f>IF(I10="","",I10)</f>
        <v/>
      </c>
      <c r="I11" s="77"/>
      <c r="J11" s="77"/>
      <c r="K11" s="77"/>
      <c r="L11" s="17"/>
      <c r="M11" s="18" t="s">
        <v>70</v>
      </c>
      <c r="N11" s="17"/>
      <c r="O11" s="19">
        <f>IF(B11="","",(ISNUMBER(C11)*ISNUMBER(E11)*(C11&gt;E11))+(ISNUMBER(F11)*ISNUMBER(H11)*(F11&gt;H11))+(ISNUMBER(L11)*ISNUMBER(N11)*(L11&gt;N11)))</f>
        <v>0</v>
      </c>
      <c r="P11" s="19">
        <f>IF(B11="","",(ISNUMBER(C11)*ISNUMBER(E11)*(C11=E11))+(ISNUMBER(F11)*ISNUMBER(H11)*(F11=H11))+(ISNUMBER(L11)*ISNUMBER(N11)*(L11=N11)))</f>
        <v>0</v>
      </c>
      <c r="Q11" s="20">
        <f>IF(B11="","",(ISNUMBER(C11)*ISNUMBER(E11)*(C11&lt;E11))+(ISNUMBER(F11)*ISNUMBER(H11)*(F11&lt;H11))+(ISNUMBER(L11)*ISNUMBER(N11)*(L11&lt;N11)))</f>
        <v>0</v>
      </c>
      <c r="R11" s="21">
        <f>IF(B11="","",O11*3+P11)</f>
        <v>0</v>
      </c>
      <c r="S11" s="22">
        <f>IF(B11="","",IF(ISNUMBER(C11)*ISNUMBER(E11),C11,0)+IF(ISNUMBER(F11)*ISNUMBER(H11),F11,0)+IF(ISNUMBER(L11)*ISNUMBER(N11),L11,0))</f>
        <v>0</v>
      </c>
      <c r="T11" s="19">
        <f>IF(B11="","",IF(ISNUMBER(C11)*ISNUMBER(E11),E11,0)+IF(ISNUMBER(F11)*ISNUMBER(H11),H11,0)+IF(ISNUMBER(L11)*ISNUMBER(N11),N11,0))</f>
        <v>0</v>
      </c>
      <c r="U11" s="19">
        <f>IF(B11="","",S11-T11)</f>
        <v>0</v>
      </c>
      <c r="V11" s="54">
        <f>IF(B11="","",(B9&lt;&gt;"")*((R9&gt;R11)*1+(R9=R11)*(U9&gt;U11)*1+(R9=R11)*(U9=U11)*(S9&gt;S11)*1)+(B10&lt;&gt;"")*((R10&gt;R11)*1+(R10=R11)*(U10&gt;U11)*1+(R10=R11)*(U10=U11)*(S10&gt;S11)*1)+(B12&lt;&gt;"")*((R12&gt;R11)*1+(R12=R11)*(U12&gt;U11)*1+(R12=R11)*(U12=U11)*(S12&gt;S11)*1)+1)</f>
        <v>1</v>
      </c>
    </row>
    <row r="12" spans="1:22" ht="21.75" customHeight="1">
      <c r="A12" s="11"/>
      <c r="B12" s="16" t="str">
        <f>IF(date!B9="","",date!B9)</f>
        <v>チームB-4</v>
      </c>
      <c r="C12" s="23" t="str">
        <f>IF(N9="","",N9)</f>
        <v/>
      </c>
      <c r="D12" s="18" t="s">
        <v>70</v>
      </c>
      <c r="E12" s="23" t="str">
        <f>IF(L9="","",L9)</f>
        <v/>
      </c>
      <c r="F12" s="23" t="str">
        <f>IF(N10="","",N10)</f>
        <v/>
      </c>
      <c r="G12" s="18" t="s">
        <v>70</v>
      </c>
      <c r="H12" s="23" t="str">
        <f>IF(L10="","",L10)</f>
        <v/>
      </c>
      <c r="I12" s="23" t="str">
        <f>IF(N11="","",N11)</f>
        <v/>
      </c>
      <c r="J12" s="18" t="s">
        <v>70</v>
      </c>
      <c r="K12" s="23" t="str">
        <f>IF(L11="","",L11)</f>
        <v/>
      </c>
      <c r="L12" s="77"/>
      <c r="M12" s="77"/>
      <c r="N12" s="77"/>
      <c r="O12" s="19">
        <f>IF(B12="","",(ISNUMBER(C12)*ISNUMBER(E12)*(C12&gt;E12))+(ISNUMBER(F12)*ISNUMBER(H12)*(F12&gt;H12))+(ISNUMBER(I12)*ISNUMBER(K12)*(I12&gt;K12)))</f>
        <v>0</v>
      </c>
      <c r="P12" s="19">
        <f>IF(B12="","",(ISNUMBER(C12)*ISNUMBER(E12)*(C12=E12))+(ISNUMBER(F12)*ISNUMBER(H12)*(F12=H12))+(ISNUMBER(I12)*ISNUMBER(K12)*(I12=K12)))</f>
        <v>0</v>
      </c>
      <c r="Q12" s="20">
        <f>IF(B12="","",(ISNUMBER(C12)*ISNUMBER(E12)*(C12&lt;E12))+(ISNUMBER(F12)*ISNUMBER(H12)*(F12&lt;H12))+(ISNUMBER(I12)*ISNUMBER(K12)*(I12&lt;K12)))</f>
        <v>0</v>
      </c>
      <c r="R12" s="24">
        <f>IF(B12="","",O12*3+P12)</f>
        <v>0</v>
      </c>
      <c r="S12" s="22">
        <f>IF(B12="","",IF(ISNUMBER(C12)*ISNUMBER(E12),C12,0)+IF(ISNUMBER(F12)*ISNUMBER(H12),F12,0)+IF(ISNUMBER(I12)*ISNUMBER(K12),I12,0))</f>
        <v>0</v>
      </c>
      <c r="T12" s="19">
        <f>IF(B12="","",IF(ISNUMBER(C12)*ISNUMBER(E12),E12,0)+IF(ISNUMBER(F12)*ISNUMBER(H12),H12,0)+IF(ISNUMBER(I12)*ISNUMBER(K12),K12,0))</f>
        <v>0</v>
      </c>
      <c r="U12" s="19">
        <f>IF(B12="","",S12-T12)</f>
        <v>0</v>
      </c>
      <c r="V12" s="55">
        <f>IF(B12="","",(B9&lt;&gt;"")*((R9&gt;R12)*1+(R9=R12)*(U9&gt;U12)*1+(R9=R12)*(U9=U12)*(S9&gt;S12)*1)+(B10&lt;&gt;"")*((R10&gt;R12)*1+(R10=R12)*(U10&gt;U12)*1+(R10=R12)*(U10=U12)*(S10&gt;S12)*1)+(B11&lt;&gt;"")*((R11&gt;R12)*1+(R11=R12)*(U11&gt;U12)*1+(R11=R12)*(U11=U12)*(S11&gt;S12)*1)+1)</f>
        <v>1</v>
      </c>
    </row>
    <row r="13" spans="1:22" ht="22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56"/>
    </row>
    <row r="14" spans="1:22" ht="19.5" customHeight="1">
      <c r="A14" s="11"/>
      <c r="B14" s="59" t="s">
        <v>72</v>
      </c>
      <c r="C14" s="78" t="str">
        <f>B15</f>
        <v>チームC-1</v>
      </c>
      <c r="D14" s="78"/>
      <c r="E14" s="78"/>
      <c r="F14" s="78" t="str">
        <f>B16</f>
        <v>チームC-2</v>
      </c>
      <c r="G14" s="78"/>
      <c r="H14" s="78"/>
      <c r="I14" s="78" t="str">
        <f>B17</f>
        <v>チームC-3</v>
      </c>
      <c r="J14" s="78"/>
      <c r="K14" s="78"/>
      <c r="L14" s="78" t="str">
        <f>B18</f>
        <v>チームC-4</v>
      </c>
      <c r="M14" s="78"/>
      <c r="N14" s="78"/>
      <c r="O14" s="1" t="s">
        <v>3</v>
      </c>
      <c r="P14" s="1" t="s">
        <v>4</v>
      </c>
      <c r="Q14" s="13" t="s">
        <v>5</v>
      </c>
      <c r="R14" s="14" t="s">
        <v>6</v>
      </c>
      <c r="S14" s="15" t="s">
        <v>7</v>
      </c>
      <c r="T14" s="1" t="s">
        <v>8</v>
      </c>
      <c r="U14" s="1" t="s">
        <v>9</v>
      </c>
      <c r="V14" s="57" t="s">
        <v>69</v>
      </c>
    </row>
    <row r="15" spans="1:22" ht="21.75" customHeight="1">
      <c r="A15" s="11"/>
      <c r="B15" s="16" t="str">
        <f>IF(date!B10="","",date!B10)</f>
        <v>チームC-1</v>
      </c>
      <c r="C15" s="77"/>
      <c r="D15" s="77"/>
      <c r="E15" s="77"/>
      <c r="F15" s="17"/>
      <c r="G15" s="18" t="s">
        <v>70</v>
      </c>
      <c r="H15" s="17"/>
      <c r="I15" s="17"/>
      <c r="J15" s="18" t="s">
        <v>70</v>
      </c>
      <c r="K15" s="17"/>
      <c r="L15" s="17"/>
      <c r="M15" s="18" t="s">
        <v>70</v>
      </c>
      <c r="N15" s="17"/>
      <c r="O15" s="19">
        <f>IF(B15="","",(ISNUMBER(F15)*ISNUMBER(H15)*(F15&gt;H15))+(ISNUMBER(I15)*ISNUMBER(K15)*(I15&gt;K15))+(ISNUMBER(L15)*ISNUMBER(N15)*(L15&gt;N15)))</f>
        <v>0</v>
      </c>
      <c r="P15" s="19">
        <f>IF(B15="","",(ISNUMBER(F15)*ISNUMBER(H15)*(F15=H15))+(ISNUMBER(I15)*ISNUMBER(K15)*(I15=K15))+(ISNUMBER(L15)*ISNUMBER(N15)*(L15=N15)))</f>
        <v>0</v>
      </c>
      <c r="Q15" s="20">
        <f>IF(B15="","",(ISNUMBER(F15)*ISNUMBER(H15)*(F15&lt;H15))+(ISNUMBER(I15)*ISNUMBER(K15)*(I15&lt;K15))+(ISNUMBER(L15)*ISNUMBER(N15)*(L15&lt;N15)))</f>
        <v>0</v>
      </c>
      <c r="R15" s="21">
        <f>IF(B15="","",O15*3+P15)</f>
        <v>0</v>
      </c>
      <c r="S15" s="22">
        <f>IF(B15="","",IF(ISNUMBER(F15)*ISNUMBER(H15),F15,0)+IF(ISNUMBER(I15)*ISNUMBER(K15),I15,0)+IF(ISNUMBER(L15)*ISNUMBER(N15),L15,0))</f>
        <v>0</v>
      </c>
      <c r="T15" s="19">
        <f>IF(B15="","",IF(ISNUMBER(F15)*ISNUMBER(H15),H15,0)+IF(ISNUMBER(I15)*ISNUMBER(K15),K15,0)+IF(ISNUMBER(L15)*ISNUMBER(N15),N15,0))</f>
        <v>0</v>
      </c>
      <c r="U15" s="19">
        <f>IF(B15="","",S15-T15)</f>
        <v>0</v>
      </c>
      <c r="V15" s="54">
        <f>IF(B15="","",(B16&lt;&gt;"")*((R16&gt;R15)*1+(R16=R15)*(U16&gt;U15)*1+(R16=R15)*(U16=U15)*(S16&gt;S15)*1)+(B17&lt;&gt;"")*((R17&gt;R15)*1+(R17=R15)*(U17&gt;U15)*1+(R17=R15)*(U17=U15)*(S17&gt;S15)*1)+(B18&lt;&gt;"")*((R18&gt;R15)*1+(R18=R15)*(U18&gt;U15)*1+(R18=R15)*(U18=U15)*(S18&gt;S15)*1)+1)</f>
        <v>1</v>
      </c>
    </row>
    <row r="16" spans="1:22" ht="21.75" customHeight="1">
      <c r="A16" s="11"/>
      <c r="B16" s="16" t="str">
        <f>IF(date!B11="","",date!B11)</f>
        <v>チームC-2</v>
      </c>
      <c r="C16" s="23" t="str">
        <f>IF(H15="","",H15)</f>
        <v/>
      </c>
      <c r="D16" s="18" t="s">
        <v>70</v>
      </c>
      <c r="E16" s="23" t="str">
        <f>IF(F15="","",F15)</f>
        <v/>
      </c>
      <c r="F16" s="77"/>
      <c r="G16" s="77"/>
      <c r="H16" s="77"/>
      <c r="I16" s="17"/>
      <c r="J16" s="18" t="s">
        <v>70</v>
      </c>
      <c r="K16" s="17"/>
      <c r="L16" s="17"/>
      <c r="M16" s="18" t="s">
        <v>70</v>
      </c>
      <c r="N16" s="17"/>
      <c r="O16" s="19">
        <f>IF(B16="","",(ISNUMBER(C16)*ISNUMBER(E16)*(C16&gt;E16))+(ISNUMBER(I16)*ISNUMBER(K16)*(I16&gt;K16))+(ISNUMBER(L16)*ISNUMBER(N16)*(L16&gt;N16)))</f>
        <v>0</v>
      </c>
      <c r="P16" s="19">
        <f>IF(B16="","",(ISNUMBER(C16)*ISNUMBER(E16)*(C16=E16))+(ISNUMBER(I16)*ISNUMBER(K16)*(I16=K16))+(ISNUMBER(L16)*ISNUMBER(N16)*(L16=N16)))</f>
        <v>0</v>
      </c>
      <c r="Q16" s="20">
        <f>IF(B16="","",(ISNUMBER(C16)*ISNUMBER(E16)*(C16&lt;E16))+(ISNUMBER(I16)*ISNUMBER(K16)*(I16&lt;K16))+(ISNUMBER(L16)*ISNUMBER(N16)*(L16&lt;N16)))</f>
        <v>0</v>
      </c>
      <c r="R16" s="21">
        <f>IF(B16="","",O16*3+P16)</f>
        <v>0</v>
      </c>
      <c r="S16" s="22">
        <f>IF(B16="","",IF(ISNUMBER(C16)*ISNUMBER(E16),C16,0)+IF(ISNUMBER(I16)*ISNUMBER(K16),I16,0)+IF(ISNUMBER(L16)*ISNUMBER(N16),L16,0))</f>
        <v>0</v>
      </c>
      <c r="T16" s="19">
        <f>IF(B16="","",IF(ISNUMBER(C16)*ISNUMBER(E16),E16,0)+IF(ISNUMBER(I16)*ISNUMBER(K16),K16,0)+IF(ISNUMBER(L16)*ISNUMBER(N16),N16,0))</f>
        <v>0</v>
      </c>
      <c r="U16" s="19">
        <f>IF(B16="","",S16-T16)</f>
        <v>0</v>
      </c>
      <c r="V16" s="54">
        <f>IF(B16="","",(B15&lt;&gt;"")*((R15&gt;R16)*1+(R15=R16)*(U15&gt;U16)*1+(R15=R16)*(U15=U16)*(S15&gt;S16)*1)+(B17&lt;&gt;"")*((R17&gt;R16)*1+(R17=R16)*(U17&gt;U16)*1+(R17=R16)*(U17=U16)*(S17&gt;S16)*1)+(B18&lt;&gt;"")*((R18&gt;R16)*1+(R18=R16)*(U18&gt;U16)*1+(R18=R16)*(U18=U16)*(S18&gt;S16)*1)+1)</f>
        <v>1</v>
      </c>
    </row>
    <row r="17" spans="1:22" ht="21.75" customHeight="1">
      <c r="A17" s="11"/>
      <c r="B17" s="16" t="str">
        <f>IF(date!B12="","",date!B12)</f>
        <v>チームC-3</v>
      </c>
      <c r="C17" s="23" t="str">
        <f>IF(K15="","",K15)</f>
        <v/>
      </c>
      <c r="D17" s="18" t="s">
        <v>70</v>
      </c>
      <c r="E17" s="23" t="str">
        <f>IF(I15="","",I15)</f>
        <v/>
      </c>
      <c r="F17" s="23" t="str">
        <f>IF(K16="","",K16)</f>
        <v/>
      </c>
      <c r="G17" s="18" t="s">
        <v>70</v>
      </c>
      <c r="H17" s="23" t="str">
        <f>IF(I16="","",I16)</f>
        <v/>
      </c>
      <c r="I17" s="77"/>
      <c r="J17" s="77"/>
      <c r="K17" s="77"/>
      <c r="L17" s="17"/>
      <c r="M17" s="18" t="s">
        <v>70</v>
      </c>
      <c r="N17" s="17"/>
      <c r="O17" s="19">
        <f>IF(B17="","",(ISNUMBER(C17)*ISNUMBER(E17)*(C17&gt;E17))+(ISNUMBER(F17)*ISNUMBER(H17)*(F17&gt;H17))+(ISNUMBER(L17)*ISNUMBER(N17)*(L17&gt;N17)))</f>
        <v>0</v>
      </c>
      <c r="P17" s="19">
        <f>IF(B17="","",(ISNUMBER(C17)*ISNUMBER(E17)*(C17=E17))+(ISNUMBER(F17)*ISNUMBER(H17)*(F17=H17))+(ISNUMBER(L17)*ISNUMBER(N17)*(L17=N17)))</f>
        <v>0</v>
      </c>
      <c r="Q17" s="20">
        <f>IF(B17="","",(ISNUMBER(C17)*ISNUMBER(E17)*(C17&lt;E17))+(ISNUMBER(F17)*ISNUMBER(H17)*(F17&lt;H17))+(ISNUMBER(L17)*ISNUMBER(N17)*(L17&lt;N17)))</f>
        <v>0</v>
      </c>
      <c r="R17" s="21">
        <f>IF(B17="","",O17*3+P17)</f>
        <v>0</v>
      </c>
      <c r="S17" s="22">
        <f>IF(B17="","",IF(ISNUMBER(C17)*ISNUMBER(E17),C17,0)+IF(ISNUMBER(F17)*ISNUMBER(H17),F17,0)+IF(ISNUMBER(L17)*ISNUMBER(N17),L17,0))</f>
        <v>0</v>
      </c>
      <c r="T17" s="19">
        <f>IF(B17="","",IF(ISNUMBER(C17)*ISNUMBER(E17),E17,0)+IF(ISNUMBER(F17)*ISNUMBER(H17),H17,0)+IF(ISNUMBER(L17)*ISNUMBER(N17),N17,0))</f>
        <v>0</v>
      </c>
      <c r="U17" s="19">
        <f>IF(B17="","",S17-T17)</f>
        <v>0</v>
      </c>
      <c r="V17" s="54">
        <f>IF(B17="","",(B15&lt;&gt;"")*((R15&gt;R17)*1+(R15=R17)*(U15&gt;U17)*1+(R15=R17)*(U15=U17)*(S15&gt;S17)*1)+(B16&lt;&gt;"")*((R16&gt;R17)*1+(R16=R17)*(U16&gt;U17)*1+(R16=R17)*(U16=U17)*(S16&gt;S17)*1)+(B18&lt;&gt;"")*((R18&gt;R17)*1+(R18=R17)*(U18&gt;U17)*1+(R18=R17)*(U18=U17)*(S18&gt;S17)*1)+1)</f>
        <v>1</v>
      </c>
    </row>
    <row r="18" spans="1:22" ht="21.75" customHeight="1">
      <c r="A18" s="11"/>
      <c r="B18" s="16" t="str">
        <f>IF(date!B13="","",date!B13)</f>
        <v>チームC-4</v>
      </c>
      <c r="C18" s="23" t="str">
        <f>IF(N15="","",N15)</f>
        <v/>
      </c>
      <c r="D18" s="18" t="s">
        <v>70</v>
      </c>
      <c r="E18" s="23" t="str">
        <f>IF(L15="","",L15)</f>
        <v/>
      </c>
      <c r="F18" s="23" t="str">
        <f>IF(N16="","",N16)</f>
        <v/>
      </c>
      <c r="G18" s="18" t="s">
        <v>70</v>
      </c>
      <c r="H18" s="23" t="str">
        <f>IF(L16="","",L16)</f>
        <v/>
      </c>
      <c r="I18" s="23" t="str">
        <f>IF(N17="","",N17)</f>
        <v/>
      </c>
      <c r="J18" s="18" t="s">
        <v>70</v>
      </c>
      <c r="K18" s="23" t="str">
        <f>IF(L17="","",L17)</f>
        <v/>
      </c>
      <c r="L18" s="77"/>
      <c r="M18" s="77"/>
      <c r="N18" s="77"/>
      <c r="O18" s="19">
        <f>IF(B18="","",(ISNUMBER(C18)*ISNUMBER(E18)*(C18&gt;E18))+(ISNUMBER(F18)*ISNUMBER(H18)*(F18&gt;H18))+(ISNUMBER(I18)*ISNUMBER(K18)*(I18&gt;K18)))</f>
        <v>0</v>
      </c>
      <c r="P18" s="19">
        <f>IF(B18="","",(ISNUMBER(C18)*ISNUMBER(E18)*(C18=E18))+(ISNUMBER(F18)*ISNUMBER(H18)*(F18=H18))+(ISNUMBER(I18)*ISNUMBER(K18)*(I18=K18)))</f>
        <v>0</v>
      </c>
      <c r="Q18" s="20">
        <f>IF(B18="","",(ISNUMBER(C18)*ISNUMBER(E18)*(C18&lt;E18))+(ISNUMBER(F18)*ISNUMBER(H18)*(F18&lt;H18))+(ISNUMBER(I18)*ISNUMBER(K18)*(I18&lt;K18)))</f>
        <v>0</v>
      </c>
      <c r="R18" s="24">
        <f>IF(B18="","",O18*3+P18)</f>
        <v>0</v>
      </c>
      <c r="S18" s="22">
        <f>IF(B18="","",IF(ISNUMBER(C18)*ISNUMBER(E18),C18,0)+IF(ISNUMBER(F18)*ISNUMBER(H18),F18,0)+IF(ISNUMBER(I18)*ISNUMBER(K18),I18,0))</f>
        <v>0</v>
      </c>
      <c r="T18" s="19">
        <f>IF(B18="","",IF(ISNUMBER(C18)*ISNUMBER(E18),E18,0)+IF(ISNUMBER(F18)*ISNUMBER(H18),H18,0)+IF(ISNUMBER(I18)*ISNUMBER(K18),K18,0))</f>
        <v>0</v>
      </c>
      <c r="U18" s="19">
        <f>IF(B18="","",S18-T18)</f>
        <v>0</v>
      </c>
      <c r="V18" s="55">
        <f>IF(B18="","",(B15&lt;&gt;"")*((R15&gt;R18)*1+(R15=R18)*(U15&gt;U18)*1+(R15=R18)*(U15=U18)*(S15&gt;S18)*1)+(B16&lt;&gt;"")*((R16&gt;R18)*1+(R16=R18)*(U16&gt;U18)*1+(R16=R18)*(U16=U18)*(S16&gt;S18)*1)+(B17&lt;&gt;"")*((R17&gt;R18)*1+(R17=R18)*(U17&gt;U18)*1+(R17=R18)*(U17=U18)*(S17&gt;S18)*1)+1)</f>
        <v>1</v>
      </c>
    </row>
    <row r="19" spans="1:22" ht="22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56"/>
    </row>
    <row r="20" spans="1:22" ht="30.75" customHeight="1">
      <c r="A20" s="11"/>
      <c r="B20" s="59" t="s">
        <v>104</v>
      </c>
      <c r="C20" s="78" t="str">
        <f>B21</f>
        <v>チームD-1</v>
      </c>
      <c r="D20" s="78"/>
      <c r="E20" s="78"/>
      <c r="F20" s="78" t="str">
        <f>B22</f>
        <v>チームD-2</v>
      </c>
      <c r="G20" s="78"/>
      <c r="H20" s="78"/>
      <c r="I20" s="78" t="str">
        <f>B23</f>
        <v>チームD-3</v>
      </c>
      <c r="J20" s="78"/>
      <c r="K20" s="78"/>
      <c r="L20" s="78" t="str">
        <f>B24</f>
        <v>チームD-4</v>
      </c>
      <c r="M20" s="78"/>
      <c r="N20" s="78"/>
      <c r="O20" s="1" t="s">
        <v>3</v>
      </c>
      <c r="P20" s="1" t="s">
        <v>4</v>
      </c>
      <c r="Q20" s="13" t="s">
        <v>5</v>
      </c>
      <c r="R20" s="14" t="s">
        <v>6</v>
      </c>
      <c r="S20" s="15" t="s">
        <v>7</v>
      </c>
      <c r="T20" s="1" t="s">
        <v>8</v>
      </c>
      <c r="U20" s="1" t="s">
        <v>9</v>
      </c>
      <c r="V20" s="57" t="s">
        <v>69</v>
      </c>
    </row>
    <row r="21" spans="1:22" ht="21.75" customHeight="1">
      <c r="A21" s="11"/>
      <c r="B21" s="16" t="str">
        <f>IF(date!B14="","",date!B14)</f>
        <v>チームD-1</v>
      </c>
      <c r="C21" s="77"/>
      <c r="D21" s="77"/>
      <c r="E21" s="77"/>
      <c r="F21" s="17"/>
      <c r="G21" s="18" t="s">
        <v>70</v>
      </c>
      <c r="H21" s="17"/>
      <c r="I21" s="17"/>
      <c r="J21" s="18" t="s">
        <v>70</v>
      </c>
      <c r="K21" s="17"/>
      <c r="L21" s="17"/>
      <c r="M21" s="18" t="s">
        <v>70</v>
      </c>
      <c r="N21" s="17"/>
      <c r="O21" s="19">
        <f>IF(B21="","",(ISNUMBER(F21)*ISNUMBER(H21)*(F21&gt;H21))+(ISNUMBER(I21)*ISNUMBER(K21)*(I21&gt;K21))+(ISNUMBER(L21)*ISNUMBER(N21)*(L21&gt;N21)))</f>
        <v>0</v>
      </c>
      <c r="P21" s="19">
        <f>IF(B21="","",(ISNUMBER(F21)*ISNUMBER(H21)*(F21=H21))+(ISNUMBER(I21)*ISNUMBER(K21)*(I21=K21))+(ISNUMBER(L21)*ISNUMBER(N21)*(L21=N21)))</f>
        <v>0</v>
      </c>
      <c r="Q21" s="20">
        <f>IF(B21="","",(ISNUMBER(F21)*ISNUMBER(H21)*(F21&lt;H21))+(ISNUMBER(I21)*ISNUMBER(K21)*(I21&lt;K21))+(ISNUMBER(L21)*ISNUMBER(N21)*(L21&lt;N21)))</f>
        <v>0</v>
      </c>
      <c r="R21" s="21">
        <f>IF(B21="","",O21*3+P21)</f>
        <v>0</v>
      </c>
      <c r="S21" s="22">
        <f>IF(B21="","",IF(ISNUMBER(F21)*ISNUMBER(H21),F21,0)+IF(ISNUMBER(I21)*ISNUMBER(K21),I21,0)+IF(ISNUMBER(L21)*ISNUMBER(N21),L21,0))</f>
        <v>0</v>
      </c>
      <c r="T21" s="19">
        <f>IF(B21="","",IF(ISNUMBER(F21)*ISNUMBER(H21),H21,0)+IF(ISNUMBER(I21)*ISNUMBER(K21),K21,0)+IF(ISNUMBER(L21)*ISNUMBER(N21),N21,0))</f>
        <v>0</v>
      </c>
      <c r="U21" s="19">
        <f>IF(B21="","",S21-T21)</f>
        <v>0</v>
      </c>
      <c r="V21" s="54">
        <f>IF(B21="","",(B22&lt;&gt;"")*((R22&gt;R21)*1+(R22=R21)*(U22&gt;U21)*1+(R22=R21)*(U22=U21)*(S22&gt;S21)*1)+(B23&lt;&gt;"")*((R23&gt;R21)*1+(R23=R21)*(U23&gt;U21)*1+(R23=R21)*(U23=U21)*(S23&gt;S21)*1)+(B24&lt;&gt;"")*((R24&gt;R21)*1+(R24=R21)*(U24&gt;U21)*1+(R24=R21)*(U24=U21)*(S24&gt;S21)*1)+1)</f>
        <v>1</v>
      </c>
    </row>
    <row r="22" spans="1:22" ht="21.75" customHeight="1">
      <c r="A22" s="11"/>
      <c r="B22" s="16" t="str">
        <f>IF(date!B15="","",date!B15)</f>
        <v>チームD-2</v>
      </c>
      <c r="C22" s="23" t="str">
        <f>IF(H21="","",H21)</f>
        <v/>
      </c>
      <c r="D22" s="18" t="s">
        <v>70</v>
      </c>
      <c r="E22" s="23" t="str">
        <f>IF(F21="","",F21)</f>
        <v/>
      </c>
      <c r="F22" s="77"/>
      <c r="G22" s="77"/>
      <c r="H22" s="77"/>
      <c r="I22" s="17"/>
      <c r="J22" s="18" t="s">
        <v>70</v>
      </c>
      <c r="K22" s="17"/>
      <c r="L22" s="17"/>
      <c r="M22" s="18" t="s">
        <v>70</v>
      </c>
      <c r="N22" s="17"/>
      <c r="O22" s="19">
        <f>IF(B22="","",(ISNUMBER(C22)*ISNUMBER(E22)*(C22&gt;E22))+(ISNUMBER(I22)*ISNUMBER(K22)*(I22&gt;K22))+(ISNUMBER(L22)*ISNUMBER(N22)*(L22&gt;N22)))</f>
        <v>0</v>
      </c>
      <c r="P22" s="19">
        <f>IF(B22="","",(ISNUMBER(C22)*ISNUMBER(E22)*(C22=E22))+(ISNUMBER(I22)*ISNUMBER(K22)*(I22=K22))+(ISNUMBER(L22)*ISNUMBER(N22)*(L22=N22)))</f>
        <v>0</v>
      </c>
      <c r="Q22" s="20">
        <f>IF(B22="","",(ISNUMBER(C22)*ISNUMBER(E22)*(C22&lt;E22))+(ISNUMBER(I22)*ISNUMBER(K22)*(I22&lt;K22))+(ISNUMBER(L22)*ISNUMBER(N22)*(L22&lt;N22)))</f>
        <v>0</v>
      </c>
      <c r="R22" s="21">
        <f>IF(B22="","",O22*3+P22)</f>
        <v>0</v>
      </c>
      <c r="S22" s="22">
        <f>IF(B22="","",IF(ISNUMBER(C22)*ISNUMBER(E22),C22,0)+IF(ISNUMBER(I22)*ISNUMBER(K22),I22,0)+IF(ISNUMBER(L22)*ISNUMBER(N22),L22,0))</f>
        <v>0</v>
      </c>
      <c r="T22" s="19">
        <f>IF(B22="","",IF(ISNUMBER(C22)*ISNUMBER(E22),E22,0)+IF(ISNUMBER(I22)*ISNUMBER(K22),K22,0)+IF(ISNUMBER(L22)*ISNUMBER(N22),N22,0))</f>
        <v>0</v>
      </c>
      <c r="U22" s="19">
        <f>IF(B22="","",S22-T22)</f>
        <v>0</v>
      </c>
      <c r="V22" s="54">
        <f>IF(B22="","",(B21&lt;&gt;"")*((R21&gt;R22)*1+(R21=R22)*(U21&gt;U22)*1+(R21=R22)*(U21=U22)*(S21&gt;S22)*1)+(B23&lt;&gt;"")*((R23&gt;R22)*1+(R23=R22)*(U23&gt;U22)*1+(R23=R22)*(U23=U22)*(S23&gt;S22)*1)+(B24&lt;&gt;"")*((R24&gt;R22)*1+(R24=R22)*(U24&gt;U22)*1+(R24=R22)*(U24=U22)*(S24&gt;S22)*1)+1)</f>
        <v>1</v>
      </c>
    </row>
    <row r="23" spans="1:22" ht="21.75" customHeight="1">
      <c r="A23" s="11"/>
      <c r="B23" s="16" t="str">
        <f>IF(date!B16="","",date!B16)</f>
        <v>チームD-3</v>
      </c>
      <c r="C23" s="23" t="str">
        <f>IF(K21="","",K21)</f>
        <v/>
      </c>
      <c r="D23" s="18" t="s">
        <v>70</v>
      </c>
      <c r="E23" s="23" t="str">
        <f>IF(I21="","",I21)</f>
        <v/>
      </c>
      <c r="F23" s="23" t="str">
        <f>IF(K22="","",K22)</f>
        <v/>
      </c>
      <c r="G23" s="18" t="s">
        <v>70</v>
      </c>
      <c r="H23" s="23" t="str">
        <f>IF(I22="","",I22)</f>
        <v/>
      </c>
      <c r="I23" s="77"/>
      <c r="J23" s="77"/>
      <c r="K23" s="77"/>
      <c r="L23" s="17"/>
      <c r="M23" s="18" t="s">
        <v>70</v>
      </c>
      <c r="N23" s="17"/>
      <c r="O23" s="19">
        <f>IF(B23="","",(ISNUMBER(C23)*ISNUMBER(E23)*(C23&gt;E23))+(ISNUMBER(F23)*ISNUMBER(H23)*(F23&gt;H23))+(ISNUMBER(L23)*ISNUMBER(N23)*(L23&gt;N23)))</f>
        <v>0</v>
      </c>
      <c r="P23" s="19">
        <f>IF(B23="","",(ISNUMBER(C23)*ISNUMBER(E23)*(C23=E23))+(ISNUMBER(F23)*ISNUMBER(H23)*(F23=H23))+(ISNUMBER(L23)*ISNUMBER(N23)*(L23=N23)))</f>
        <v>0</v>
      </c>
      <c r="Q23" s="20">
        <f>IF(B23="","",(ISNUMBER(C23)*ISNUMBER(E23)*(C23&lt;E23))+(ISNUMBER(F23)*ISNUMBER(H23)*(F23&lt;H23))+(ISNUMBER(L23)*ISNUMBER(N23)*(L23&lt;N23)))</f>
        <v>0</v>
      </c>
      <c r="R23" s="21">
        <f>IF(B23="","",O23*3+P23)</f>
        <v>0</v>
      </c>
      <c r="S23" s="22">
        <f>IF(B23="","",IF(ISNUMBER(C23)*ISNUMBER(E23),C23,0)+IF(ISNUMBER(F23)*ISNUMBER(H23),F23,0)+IF(ISNUMBER(L23)*ISNUMBER(N23),L23,0))</f>
        <v>0</v>
      </c>
      <c r="T23" s="19">
        <f>IF(B23="","",IF(ISNUMBER(C23)*ISNUMBER(E23),E23,0)+IF(ISNUMBER(F23)*ISNUMBER(H23),H23,0)+IF(ISNUMBER(L23)*ISNUMBER(N23),N23,0))</f>
        <v>0</v>
      </c>
      <c r="U23" s="19">
        <f>IF(B23="","",S23-T23)</f>
        <v>0</v>
      </c>
      <c r="V23" s="54">
        <f>IF(B23="","",(B21&lt;&gt;"")*((R21&gt;R23)*1+(R21=R23)*(U21&gt;U23)*1+(R21=R23)*(U21=U23)*(S21&gt;S23)*1)+(B22&lt;&gt;"")*((R22&gt;R23)*1+(R22=R23)*(U22&gt;U23)*1+(R22=R23)*(U22=U23)*(S22&gt;S23)*1)+(B24&lt;&gt;"")*((R24&gt;R23)*1+(R24=R23)*(U24&gt;U23)*1+(R24=R23)*(U24=U23)*(S24&gt;S23)*1)+1)</f>
        <v>1</v>
      </c>
    </row>
    <row r="24" spans="1:22" ht="21.75" customHeight="1">
      <c r="A24" s="11"/>
      <c r="B24" s="16" t="str">
        <f>IF(date!B17="","",date!B17)</f>
        <v>チームD-4</v>
      </c>
      <c r="C24" s="23" t="str">
        <f>IF(N21="","",N21)</f>
        <v/>
      </c>
      <c r="D24" s="18" t="s">
        <v>70</v>
      </c>
      <c r="E24" s="23" t="str">
        <f>IF(L21="","",L21)</f>
        <v/>
      </c>
      <c r="F24" s="23" t="str">
        <f>IF(N22="","",N22)</f>
        <v/>
      </c>
      <c r="G24" s="18" t="s">
        <v>70</v>
      </c>
      <c r="H24" s="23" t="str">
        <f>IF(L22="","",L22)</f>
        <v/>
      </c>
      <c r="I24" s="23" t="str">
        <f>IF(N23="","",N23)</f>
        <v/>
      </c>
      <c r="J24" s="18" t="s">
        <v>70</v>
      </c>
      <c r="K24" s="23" t="str">
        <f>IF(L23="","",L23)</f>
        <v/>
      </c>
      <c r="L24" s="77"/>
      <c r="M24" s="77"/>
      <c r="N24" s="77"/>
      <c r="O24" s="19">
        <f>IF(B24="","",(ISNUMBER(C24)*ISNUMBER(E24)*(C24&gt;E24))+(ISNUMBER(F24)*ISNUMBER(H24)*(F24&gt;H24))+(ISNUMBER(I24)*ISNUMBER(K24)*(I24&gt;K24)))</f>
        <v>0</v>
      </c>
      <c r="P24" s="19">
        <f>IF(B24="","",(ISNUMBER(C24)*ISNUMBER(E24)*(C24=E24))+(ISNUMBER(F24)*ISNUMBER(H24)*(F24=H24))+(ISNUMBER(I24)*ISNUMBER(K24)*(I24=K24)))</f>
        <v>0</v>
      </c>
      <c r="Q24" s="20">
        <f>IF(B24="","",(ISNUMBER(C24)*ISNUMBER(E24)*(C24&lt;E24))+(ISNUMBER(F24)*ISNUMBER(H24)*(F24&lt;H24))+(ISNUMBER(I24)*ISNUMBER(K24)*(I24&lt;K24)))</f>
        <v>0</v>
      </c>
      <c r="R24" s="24">
        <f>IF(B24="","",O24*3+P24)</f>
        <v>0</v>
      </c>
      <c r="S24" s="22">
        <f>IF(B24="","",IF(ISNUMBER(C24)*ISNUMBER(E24),C24,0)+IF(ISNUMBER(F24)*ISNUMBER(H24),F24,0)+IF(ISNUMBER(I24)*ISNUMBER(K24),I24,0))</f>
        <v>0</v>
      </c>
      <c r="T24" s="19">
        <f>IF(B24="","",IF(ISNUMBER(C24)*ISNUMBER(E24),E24,0)+IF(ISNUMBER(F24)*ISNUMBER(H24),H24,0)+IF(ISNUMBER(I24)*ISNUMBER(K24),K24,0))</f>
        <v>0</v>
      </c>
      <c r="U24" s="19">
        <f>IF(B24="","",S24-T24)</f>
        <v>0</v>
      </c>
      <c r="V24" s="55">
        <f>IF(B24="","",(B21&lt;&gt;"")*((R21&gt;R24)*1+(R21=R24)*(U21&gt;U24)*1+(R21=R24)*(U21=U24)*(S21&gt;S24)*1)+(B22&lt;&gt;"")*((R22&gt;R24)*1+(R22=R24)*(U22&gt;U24)*1+(R22=R24)*(U22=U24)*(S22&gt;S24)*1)+(B23&lt;&gt;"")*((R23&gt;R24)*1+(R23=R24)*(U23&gt;U24)*1+(R23=R24)*(U23=U24)*(S23&gt;S24)*1)+1)</f>
        <v>1</v>
      </c>
    </row>
    <row r="25" spans="1:22" ht="22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56"/>
    </row>
    <row r="26" spans="1:22" ht="30.75" customHeight="1">
      <c r="A26" s="11"/>
      <c r="B26" s="59" t="s">
        <v>73</v>
      </c>
      <c r="C26" s="78" t="str">
        <f>B27</f>
        <v>チームE-1</v>
      </c>
      <c r="D26" s="78"/>
      <c r="E26" s="78"/>
      <c r="F26" s="78" t="str">
        <f>B28</f>
        <v>チームE-2</v>
      </c>
      <c r="G26" s="78"/>
      <c r="H26" s="78"/>
      <c r="I26" s="78" t="str">
        <f>B29</f>
        <v>チームE-3</v>
      </c>
      <c r="J26" s="78"/>
      <c r="K26" s="78"/>
      <c r="L26" s="78" t="str">
        <f>B30</f>
        <v>チームE-4</v>
      </c>
      <c r="M26" s="78"/>
      <c r="N26" s="78"/>
      <c r="O26" s="1" t="s">
        <v>3</v>
      </c>
      <c r="P26" s="1" t="s">
        <v>4</v>
      </c>
      <c r="Q26" s="13" t="s">
        <v>5</v>
      </c>
      <c r="R26" s="14" t="s">
        <v>6</v>
      </c>
      <c r="S26" s="15" t="s">
        <v>7</v>
      </c>
      <c r="T26" s="1" t="s">
        <v>8</v>
      </c>
      <c r="U26" s="1" t="s">
        <v>9</v>
      </c>
      <c r="V26" s="57" t="s">
        <v>69</v>
      </c>
    </row>
    <row r="27" spans="1:22" ht="21.75" customHeight="1">
      <c r="A27" s="11"/>
      <c r="B27" s="16" t="str">
        <f>IF(date!B18="","",date!B18)</f>
        <v>チームE-1</v>
      </c>
      <c r="C27" s="77"/>
      <c r="D27" s="77"/>
      <c r="E27" s="77"/>
      <c r="F27" s="17"/>
      <c r="G27" s="18" t="s">
        <v>70</v>
      </c>
      <c r="H27" s="17"/>
      <c r="I27" s="17"/>
      <c r="J27" s="18" t="s">
        <v>70</v>
      </c>
      <c r="K27" s="17"/>
      <c r="L27" s="17"/>
      <c r="M27" s="18" t="s">
        <v>70</v>
      </c>
      <c r="N27" s="17"/>
      <c r="O27" s="19">
        <f>IF(B27="","",(ISNUMBER(F27)*ISNUMBER(H27)*(F27&gt;H27))+(ISNUMBER(I27)*ISNUMBER(K27)*(I27&gt;K27))+(ISNUMBER(L27)*ISNUMBER(N27)*(L27&gt;N27)))</f>
        <v>0</v>
      </c>
      <c r="P27" s="19">
        <f>IF(B27="","",(ISNUMBER(F27)*ISNUMBER(H27)*(F27=H27))+(ISNUMBER(I27)*ISNUMBER(K27)*(I27=K27))+(ISNUMBER(L27)*ISNUMBER(N27)*(L27=N27)))</f>
        <v>0</v>
      </c>
      <c r="Q27" s="20">
        <f>IF(B27="","",(ISNUMBER(F27)*ISNUMBER(H27)*(F27&lt;H27))+(ISNUMBER(I27)*ISNUMBER(K27)*(I27&lt;K27))+(ISNUMBER(L27)*ISNUMBER(N27)*(L27&lt;N27)))</f>
        <v>0</v>
      </c>
      <c r="R27" s="21">
        <f>IF(B27="","",O27*3+P27)</f>
        <v>0</v>
      </c>
      <c r="S27" s="22">
        <f>IF(B27="","",IF(ISNUMBER(F27)*ISNUMBER(H27),F27,0)+IF(ISNUMBER(I27)*ISNUMBER(K27),I27,0)+IF(ISNUMBER(L27)*ISNUMBER(N27),L27,0))</f>
        <v>0</v>
      </c>
      <c r="T27" s="19">
        <f>IF(B27="","",IF(ISNUMBER(F27)*ISNUMBER(H27),H27,0)+IF(ISNUMBER(I27)*ISNUMBER(K27),K27,0)+IF(ISNUMBER(L27)*ISNUMBER(N27),N27,0))</f>
        <v>0</v>
      </c>
      <c r="U27" s="19">
        <f>IF(B27="","",S27-T27)</f>
        <v>0</v>
      </c>
      <c r="V27" s="54">
        <f>IF(B27="","",(B28&lt;&gt;"")*((R28&gt;R27)*1+(R28=R27)*(U28&gt;U27)*1+(R28=R27)*(U28=U27)*(S28&gt;S27)*1)+(B29&lt;&gt;"")*((R29&gt;R27)*1+(R29=R27)*(U29&gt;U27)*1+(R29=R27)*(U29=U27)*(S29&gt;S27)*1)+(B30&lt;&gt;"")*((R30&gt;R27)*1+(R30=R27)*(U30&gt;U27)*1+(R30=R27)*(U30=U27)*(S30&gt;S27)*1)+1)</f>
        <v>1</v>
      </c>
    </row>
    <row r="28" spans="1:22" ht="21.75" customHeight="1">
      <c r="A28" s="11"/>
      <c r="B28" s="16" t="str">
        <f>IF(date!B19="","",date!B19)</f>
        <v>チームE-2</v>
      </c>
      <c r="C28" s="23" t="str">
        <f>IF(H27="","",H27)</f>
        <v/>
      </c>
      <c r="D28" s="18" t="s">
        <v>70</v>
      </c>
      <c r="E28" s="23" t="str">
        <f>IF(F27="","",F27)</f>
        <v/>
      </c>
      <c r="F28" s="77"/>
      <c r="G28" s="77"/>
      <c r="H28" s="77"/>
      <c r="I28" s="17"/>
      <c r="J28" s="18" t="s">
        <v>70</v>
      </c>
      <c r="K28" s="17"/>
      <c r="L28" s="17"/>
      <c r="M28" s="18" t="s">
        <v>70</v>
      </c>
      <c r="N28" s="17"/>
      <c r="O28" s="19">
        <f>IF(B28="","",(ISNUMBER(C28)*ISNUMBER(E28)*(C28&gt;E28))+(ISNUMBER(I28)*ISNUMBER(K28)*(I28&gt;K28))+(ISNUMBER(L28)*ISNUMBER(N28)*(L28&gt;N28)))</f>
        <v>0</v>
      </c>
      <c r="P28" s="19">
        <f>IF(B28="","",(ISNUMBER(C28)*ISNUMBER(E28)*(C28=E28))+(ISNUMBER(I28)*ISNUMBER(K28)*(I28=K28))+(ISNUMBER(L28)*ISNUMBER(N28)*(L28=N28)))</f>
        <v>0</v>
      </c>
      <c r="Q28" s="20">
        <f>IF(B28="","",(ISNUMBER(C28)*ISNUMBER(E28)*(C28&lt;E28))+(ISNUMBER(I28)*ISNUMBER(K28)*(I28&lt;K28))+(ISNUMBER(L28)*ISNUMBER(N28)*(L28&lt;N28)))</f>
        <v>0</v>
      </c>
      <c r="R28" s="21">
        <f>IF(B28="","",O28*3+P28)</f>
        <v>0</v>
      </c>
      <c r="S28" s="22">
        <f>IF(B28="","",IF(ISNUMBER(C28)*ISNUMBER(E28),C28,0)+IF(ISNUMBER(I28)*ISNUMBER(K28),I28,0)+IF(ISNUMBER(L28)*ISNUMBER(N28),L28,0))</f>
        <v>0</v>
      </c>
      <c r="T28" s="19">
        <f>IF(B28="","",IF(ISNUMBER(C28)*ISNUMBER(E28),E28,0)+IF(ISNUMBER(I28)*ISNUMBER(K28),K28,0)+IF(ISNUMBER(L28)*ISNUMBER(N28),N28,0))</f>
        <v>0</v>
      </c>
      <c r="U28" s="19">
        <f>IF(B28="","",S28-T28)</f>
        <v>0</v>
      </c>
      <c r="V28" s="54">
        <f>IF(B28="","",(B27&lt;&gt;"")*((R27&gt;R28)*1+(R27=R28)*(U27&gt;U28)*1+(R27=R28)*(U27=U28)*(S27&gt;S28)*1)+(B29&lt;&gt;"")*((R29&gt;R28)*1+(R29=R28)*(U29&gt;U28)*1+(R29=R28)*(U29=U28)*(S29&gt;S28)*1)+(B30&lt;&gt;"")*((R30&gt;R28)*1+(R30=R28)*(U30&gt;U28)*1+(R30=R28)*(U30=U28)*(S30&gt;S28)*1)+1)</f>
        <v>1</v>
      </c>
    </row>
    <row r="29" spans="1:22" ht="21.75" customHeight="1">
      <c r="A29" s="11"/>
      <c r="B29" s="16" t="str">
        <f>IF(date!B20="","",date!B20)</f>
        <v>チームE-3</v>
      </c>
      <c r="C29" s="23" t="str">
        <f>IF(K27="","",K27)</f>
        <v/>
      </c>
      <c r="D29" s="18" t="s">
        <v>70</v>
      </c>
      <c r="E29" s="23" t="str">
        <f>IF(I27="","",I27)</f>
        <v/>
      </c>
      <c r="F29" s="23" t="str">
        <f>IF(K28="","",K28)</f>
        <v/>
      </c>
      <c r="G29" s="18" t="s">
        <v>70</v>
      </c>
      <c r="H29" s="23" t="str">
        <f>IF(I28="","",I28)</f>
        <v/>
      </c>
      <c r="I29" s="77"/>
      <c r="J29" s="77"/>
      <c r="K29" s="77"/>
      <c r="L29" s="17"/>
      <c r="M29" s="18" t="s">
        <v>70</v>
      </c>
      <c r="N29" s="17"/>
      <c r="O29" s="19">
        <f>IF(B29="","",(ISNUMBER(C29)*ISNUMBER(E29)*(C29&gt;E29))+(ISNUMBER(F29)*ISNUMBER(H29)*(F29&gt;H29))+(ISNUMBER(L29)*ISNUMBER(N29)*(L29&gt;N29)))</f>
        <v>0</v>
      </c>
      <c r="P29" s="19">
        <f>IF(B29="","",(ISNUMBER(C29)*ISNUMBER(E29)*(C29=E29))+(ISNUMBER(F29)*ISNUMBER(H29)*(F29=H29))+(ISNUMBER(L29)*ISNUMBER(N29)*(L29=N29)))</f>
        <v>0</v>
      </c>
      <c r="Q29" s="20">
        <f>IF(B29="","",(ISNUMBER(C29)*ISNUMBER(E29)*(C29&lt;E29))+(ISNUMBER(F29)*ISNUMBER(H29)*(F29&lt;H29))+(ISNUMBER(L29)*ISNUMBER(N29)*(L29&lt;N29)))</f>
        <v>0</v>
      </c>
      <c r="R29" s="21">
        <f>IF(B29="","",O29*3+P29)</f>
        <v>0</v>
      </c>
      <c r="S29" s="22">
        <f>IF(B29="","",IF(ISNUMBER(C29)*ISNUMBER(E29),C29,0)+IF(ISNUMBER(F29)*ISNUMBER(H29),F29,0)+IF(ISNUMBER(L29)*ISNUMBER(N29),L29,0))</f>
        <v>0</v>
      </c>
      <c r="T29" s="19">
        <f>IF(B29="","",IF(ISNUMBER(C29)*ISNUMBER(E29),E29,0)+IF(ISNUMBER(F29)*ISNUMBER(H29),H29,0)+IF(ISNUMBER(L29)*ISNUMBER(N29),N29,0))</f>
        <v>0</v>
      </c>
      <c r="U29" s="19">
        <f>IF(B29="","",S29-T29)</f>
        <v>0</v>
      </c>
      <c r="V29" s="54">
        <f>IF(B29="","",(B27&lt;&gt;"")*((R27&gt;R29)*1+(R27=R29)*(U27&gt;U29)*1+(R27=R29)*(U27=U29)*(S27&gt;S29)*1)+(B28&lt;&gt;"")*((R28&gt;R29)*1+(R28=R29)*(U28&gt;U29)*1+(R28=R29)*(U28=U29)*(S28&gt;S29)*1)+(B30&lt;&gt;"")*((R30&gt;R29)*1+(R30=R29)*(U30&gt;U29)*1+(R30=R29)*(U30=U29)*(S30&gt;S29)*1)+1)</f>
        <v>1</v>
      </c>
    </row>
    <row r="30" spans="1:22" ht="21.75" customHeight="1">
      <c r="A30" s="11"/>
      <c r="B30" s="16" t="str">
        <f>IF(date!B21="","",date!B21)</f>
        <v>チームE-4</v>
      </c>
      <c r="C30" s="23" t="str">
        <f>IF(N27="","",N27)</f>
        <v/>
      </c>
      <c r="D30" s="18" t="s">
        <v>70</v>
      </c>
      <c r="E30" s="23" t="str">
        <f>IF(L27="","",L27)</f>
        <v/>
      </c>
      <c r="F30" s="23" t="str">
        <f>IF(N28="","",N28)</f>
        <v/>
      </c>
      <c r="G30" s="18" t="s">
        <v>70</v>
      </c>
      <c r="H30" s="23" t="str">
        <f>IF(L28="","",L28)</f>
        <v/>
      </c>
      <c r="I30" s="23" t="str">
        <f>IF(N29="","",N29)</f>
        <v/>
      </c>
      <c r="J30" s="18" t="s">
        <v>70</v>
      </c>
      <c r="K30" s="23" t="str">
        <f>IF(L29="","",L29)</f>
        <v/>
      </c>
      <c r="L30" s="77"/>
      <c r="M30" s="77"/>
      <c r="N30" s="77"/>
      <c r="O30" s="19">
        <f>IF(B30="","",(ISNUMBER(C30)*ISNUMBER(E30)*(C30&gt;E30))+(ISNUMBER(F30)*ISNUMBER(H30)*(F30&gt;H30))+(ISNUMBER(I30)*ISNUMBER(K30)*(I30&gt;K30)))</f>
        <v>0</v>
      </c>
      <c r="P30" s="19">
        <f>IF(B30="","",(ISNUMBER(C30)*ISNUMBER(E30)*(C30=E30))+(ISNUMBER(F30)*ISNUMBER(H30)*(F30=H30))+(ISNUMBER(I30)*ISNUMBER(K30)*(I30=K30)))</f>
        <v>0</v>
      </c>
      <c r="Q30" s="20">
        <f>IF(B30="","",(ISNUMBER(C30)*ISNUMBER(E30)*(C30&lt;E30))+(ISNUMBER(F30)*ISNUMBER(H30)*(F30&lt;H30))+(ISNUMBER(I30)*ISNUMBER(K30)*(I30&lt;K30)))</f>
        <v>0</v>
      </c>
      <c r="R30" s="24">
        <f>IF(B30="","",O30*3+P30)</f>
        <v>0</v>
      </c>
      <c r="S30" s="22">
        <f>IF(B30="","",IF(ISNUMBER(C30)*ISNUMBER(E30),C30,0)+IF(ISNUMBER(F30)*ISNUMBER(H30),F30,0)+IF(ISNUMBER(I30)*ISNUMBER(K30),I30,0))</f>
        <v>0</v>
      </c>
      <c r="T30" s="19">
        <f>IF(B30="","",IF(ISNUMBER(C30)*ISNUMBER(E30),E30,0)+IF(ISNUMBER(F30)*ISNUMBER(H30),H30,0)+IF(ISNUMBER(I30)*ISNUMBER(K30),K30,0))</f>
        <v>0</v>
      </c>
      <c r="U30" s="19">
        <f>IF(B30="","",S30-T30)</f>
        <v>0</v>
      </c>
      <c r="V30" s="55">
        <f>IF(B30="","",(B27&lt;&gt;"")*((R27&gt;R30)*1+(R27=R30)*(U27&gt;U30)*1+(R27=R30)*(U27=U30)*(S27&gt;S30)*1)+(B28&lt;&gt;"")*((R28&gt;R30)*1+(R28=R30)*(U28&gt;U30)*1+(R28=R30)*(U28=U30)*(S28&gt;S30)*1)+(B29&lt;&gt;"")*((R29&gt;R30)*1+(R29=R30)*(U29&gt;U30)*1+(R29=R30)*(U29=U30)*(S29&gt;S30)*1)+1)</f>
        <v>1</v>
      </c>
    </row>
    <row r="31" spans="1:22" ht="22.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56"/>
    </row>
    <row r="32" spans="1:22" ht="29.25" customHeight="1">
      <c r="A32" s="11"/>
      <c r="B32" s="59" t="s">
        <v>74</v>
      </c>
      <c r="C32" s="78" t="str">
        <f>B33</f>
        <v>チームF-1</v>
      </c>
      <c r="D32" s="78"/>
      <c r="E32" s="78"/>
      <c r="F32" s="78" t="str">
        <f>B34</f>
        <v>チームF-2</v>
      </c>
      <c r="G32" s="78"/>
      <c r="H32" s="78"/>
      <c r="I32" s="78" t="str">
        <f>B35</f>
        <v>チームF-3</v>
      </c>
      <c r="J32" s="78"/>
      <c r="K32" s="78"/>
      <c r="L32" s="78" t="str">
        <f>B36</f>
        <v>チームF-4</v>
      </c>
      <c r="M32" s="78"/>
      <c r="N32" s="78"/>
      <c r="O32" s="1" t="s">
        <v>3</v>
      </c>
      <c r="P32" s="1" t="s">
        <v>4</v>
      </c>
      <c r="Q32" s="13" t="s">
        <v>5</v>
      </c>
      <c r="R32" s="14" t="s">
        <v>6</v>
      </c>
      <c r="S32" s="15" t="s">
        <v>7</v>
      </c>
      <c r="T32" s="1" t="s">
        <v>8</v>
      </c>
      <c r="U32" s="1" t="s">
        <v>9</v>
      </c>
      <c r="V32" s="57" t="s">
        <v>69</v>
      </c>
    </row>
    <row r="33" spans="1:22" ht="21.75" customHeight="1">
      <c r="A33" s="11"/>
      <c r="B33" s="16" t="str">
        <f>IF(date!B22="","",date!B22)</f>
        <v>チームF-1</v>
      </c>
      <c r="C33" s="77"/>
      <c r="D33" s="77"/>
      <c r="E33" s="77"/>
      <c r="F33" s="17"/>
      <c r="G33" s="18" t="s">
        <v>70</v>
      </c>
      <c r="H33" s="17"/>
      <c r="I33" s="17"/>
      <c r="J33" s="18" t="s">
        <v>70</v>
      </c>
      <c r="K33" s="17"/>
      <c r="L33" s="17"/>
      <c r="M33" s="18" t="s">
        <v>70</v>
      </c>
      <c r="N33" s="17"/>
      <c r="O33" s="19">
        <f>IF(B33="","",(ISNUMBER(F33)*ISNUMBER(H33)*(F33&gt;H33))+(ISNUMBER(I33)*ISNUMBER(K33)*(I33&gt;K33))+(ISNUMBER(L33)*ISNUMBER(N33)*(L33&gt;N33)))</f>
        <v>0</v>
      </c>
      <c r="P33" s="19">
        <f>IF(B33="","",(ISNUMBER(F33)*ISNUMBER(H33)*(F33=H33))+(ISNUMBER(I33)*ISNUMBER(K33)*(I33=K33))+(ISNUMBER(L33)*ISNUMBER(N33)*(L33=N33)))</f>
        <v>0</v>
      </c>
      <c r="Q33" s="20">
        <f>IF(B33="","",(ISNUMBER(F33)*ISNUMBER(H33)*(F33&lt;H33))+(ISNUMBER(I33)*ISNUMBER(K33)*(I33&lt;K33))+(ISNUMBER(L33)*ISNUMBER(N33)*(L33&lt;N33)))</f>
        <v>0</v>
      </c>
      <c r="R33" s="21">
        <f>IF(B33="","",O33*3+P33)</f>
        <v>0</v>
      </c>
      <c r="S33" s="22">
        <f>IF(B33="","",IF(ISNUMBER(F33)*ISNUMBER(H33),F33,0)+IF(ISNUMBER(I33)*ISNUMBER(K33),I33,0)+IF(ISNUMBER(L33)*ISNUMBER(N33),L33,0))</f>
        <v>0</v>
      </c>
      <c r="T33" s="19">
        <f>IF(B33="","",IF(ISNUMBER(F33)*ISNUMBER(H33),H33,0)+IF(ISNUMBER(I33)*ISNUMBER(K33),K33,0)+IF(ISNUMBER(L33)*ISNUMBER(N33),N33,0))</f>
        <v>0</v>
      </c>
      <c r="U33" s="19">
        <f>IF(B33="","",S33-T33)</f>
        <v>0</v>
      </c>
      <c r="V33" s="54">
        <f>IF(B33="","",(B34&lt;&gt;"")*((R34&gt;R33)*1+(R34=R33)*(U34&gt;U33)*1+(R34=R33)*(U34=U33)*(S34&gt;S33)*1)+(B35&lt;&gt;"")*((R35&gt;R33)*1+(R35=R33)*(U35&gt;U33)*1+(R35=R33)*(U35=U33)*(S35&gt;S33)*1)+(B36&lt;&gt;"")*((R36&gt;R33)*1+(R36=R33)*(U36&gt;U33)*1+(R36=R33)*(U36=U33)*(S36&gt;S33)*1)+1)</f>
        <v>1</v>
      </c>
    </row>
    <row r="34" spans="1:22" ht="21.75" customHeight="1">
      <c r="A34" s="11"/>
      <c r="B34" s="16" t="str">
        <f>IF(date!B23="","",date!B23)</f>
        <v>チームF-2</v>
      </c>
      <c r="C34" s="23" t="str">
        <f>IF(H33="","",H33)</f>
        <v/>
      </c>
      <c r="D34" s="18" t="s">
        <v>70</v>
      </c>
      <c r="E34" s="23" t="str">
        <f>IF(F33="","",F33)</f>
        <v/>
      </c>
      <c r="F34" s="77"/>
      <c r="G34" s="77"/>
      <c r="H34" s="77"/>
      <c r="I34" s="17"/>
      <c r="J34" s="18" t="s">
        <v>70</v>
      </c>
      <c r="K34" s="17"/>
      <c r="L34" s="17"/>
      <c r="M34" s="18" t="s">
        <v>70</v>
      </c>
      <c r="N34" s="17"/>
      <c r="O34" s="19">
        <f>IF(B34="","",(ISNUMBER(C34)*ISNUMBER(E34)*(C34&gt;E34))+(ISNUMBER(I34)*ISNUMBER(K34)*(I34&gt;K34))+(ISNUMBER(L34)*ISNUMBER(N34)*(L34&gt;N34)))</f>
        <v>0</v>
      </c>
      <c r="P34" s="19">
        <f>IF(B34="","",(ISNUMBER(C34)*ISNUMBER(E34)*(C34=E34))+(ISNUMBER(I34)*ISNUMBER(K34)*(I34=K34))+(ISNUMBER(L34)*ISNUMBER(N34)*(L34=N34)))</f>
        <v>0</v>
      </c>
      <c r="Q34" s="20">
        <f>IF(B34="","",(ISNUMBER(C34)*ISNUMBER(E34)*(C34&lt;E34))+(ISNUMBER(I34)*ISNUMBER(K34)*(I34&lt;K34))+(ISNUMBER(L34)*ISNUMBER(N34)*(L34&lt;N34)))</f>
        <v>0</v>
      </c>
      <c r="R34" s="21">
        <f>IF(B34="","",O34*3+P34)</f>
        <v>0</v>
      </c>
      <c r="S34" s="22">
        <f>IF(B34="","",IF(ISNUMBER(C34)*ISNUMBER(E34),C34,0)+IF(ISNUMBER(I34)*ISNUMBER(K34),I34,0)+IF(ISNUMBER(L34)*ISNUMBER(N34),L34,0))</f>
        <v>0</v>
      </c>
      <c r="T34" s="19">
        <f>IF(B34="","",IF(ISNUMBER(C34)*ISNUMBER(E34),E34,0)+IF(ISNUMBER(I34)*ISNUMBER(K34),K34,0)+IF(ISNUMBER(L34)*ISNUMBER(N34),N34,0))</f>
        <v>0</v>
      </c>
      <c r="U34" s="19">
        <f>IF(B34="","",S34-T34)</f>
        <v>0</v>
      </c>
      <c r="V34" s="54">
        <f>IF(B34="","",(B33&lt;&gt;"")*((R33&gt;R34)*1+(R33=R34)*(U33&gt;U34)*1+(R33=R34)*(U33=U34)*(S33&gt;S34)*1)+(B35&lt;&gt;"")*((R35&gt;R34)*1+(R35=R34)*(U35&gt;U34)*1+(R35=R34)*(U35=U34)*(S35&gt;S34)*1)+(B36&lt;&gt;"")*((R36&gt;R34)*1+(R36=R34)*(U36&gt;U34)*1+(R36=R34)*(U36=U34)*(S36&gt;S34)*1)+1)</f>
        <v>1</v>
      </c>
    </row>
    <row r="35" spans="1:22" ht="21.75" customHeight="1">
      <c r="A35" s="11"/>
      <c r="B35" s="16" t="str">
        <f>IF(date!B24="","",date!B24)</f>
        <v>チームF-3</v>
      </c>
      <c r="C35" s="23" t="str">
        <f>IF(K33="","",K33)</f>
        <v/>
      </c>
      <c r="D35" s="18" t="s">
        <v>70</v>
      </c>
      <c r="E35" s="23" t="str">
        <f>IF(I33="","",I33)</f>
        <v/>
      </c>
      <c r="F35" s="23" t="str">
        <f>IF(K34="","",K34)</f>
        <v/>
      </c>
      <c r="G35" s="18" t="s">
        <v>70</v>
      </c>
      <c r="H35" s="23" t="str">
        <f>IF(I34="","",I34)</f>
        <v/>
      </c>
      <c r="I35" s="77"/>
      <c r="J35" s="77"/>
      <c r="K35" s="77"/>
      <c r="L35" s="17"/>
      <c r="M35" s="18" t="s">
        <v>70</v>
      </c>
      <c r="N35" s="17"/>
      <c r="O35" s="19">
        <f>IF(B35="","",(ISNUMBER(C35)*ISNUMBER(E35)*(C35&gt;E35))+(ISNUMBER(F35)*ISNUMBER(H35)*(F35&gt;H35))+(ISNUMBER(L35)*ISNUMBER(N35)*(L35&gt;N35)))</f>
        <v>0</v>
      </c>
      <c r="P35" s="19">
        <f>IF(B35="","",(ISNUMBER(C35)*ISNUMBER(E35)*(C35=E35))+(ISNUMBER(F35)*ISNUMBER(H35)*(F35=H35))+(ISNUMBER(L35)*ISNUMBER(N35)*(L35=N35)))</f>
        <v>0</v>
      </c>
      <c r="Q35" s="20">
        <f>IF(B35="","",(ISNUMBER(C35)*ISNUMBER(E35)*(C35&lt;E35))+(ISNUMBER(F35)*ISNUMBER(H35)*(F35&lt;H35))+(ISNUMBER(L35)*ISNUMBER(N35)*(L35&lt;N35)))</f>
        <v>0</v>
      </c>
      <c r="R35" s="21">
        <f>IF(B35="","",O35*3+P35)</f>
        <v>0</v>
      </c>
      <c r="S35" s="22">
        <f>IF(B35="","",IF(ISNUMBER(C35)*ISNUMBER(E35),C35,0)+IF(ISNUMBER(F35)*ISNUMBER(H35),F35,0)+IF(ISNUMBER(L35)*ISNUMBER(N35),L35,0))</f>
        <v>0</v>
      </c>
      <c r="T35" s="19">
        <f>IF(B35="","",IF(ISNUMBER(C35)*ISNUMBER(E35),E35,0)+IF(ISNUMBER(F35)*ISNUMBER(H35),H35,0)+IF(ISNUMBER(L35)*ISNUMBER(N35),N35,0))</f>
        <v>0</v>
      </c>
      <c r="U35" s="19">
        <f>IF(B35="","",S35-T35)</f>
        <v>0</v>
      </c>
      <c r="V35" s="54">
        <f>IF(B35="","",(B33&lt;&gt;"")*((R33&gt;R35)*1+(R33=R35)*(U33&gt;U35)*1+(R33=R35)*(U33=U35)*(S33&gt;S35)*1)+(B34&lt;&gt;"")*((R34&gt;R35)*1+(R34=R35)*(U34&gt;U35)*1+(R34=R35)*(U34=U35)*(S34&gt;S35)*1)+(B36&lt;&gt;"")*((R36&gt;R35)*1+(R36=R35)*(U36&gt;U35)*1+(R36=R35)*(U36=U35)*(S36&gt;S35)*1)+1)</f>
        <v>1</v>
      </c>
    </row>
    <row r="36" spans="1:22" ht="21.75" customHeight="1">
      <c r="A36" s="11"/>
      <c r="B36" s="16" t="str">
        <f>IF(date!B25="","",date!B25)</f>
        <v>チームF-4</v>
      </c>
      <c r="C36" s="23" t="str">
        <f>IF(N33="","",N33)</f>
        <v/>
      </c>
      <c r="D36" s="18" t="s">
        <v>70</v>
      </c>
      <c r="E36" s="23" t="str">
        <f>IF(L33="","",L33)</f>
        <v/>
      </c>
      <c r="F36" s="23" t="str">
        <f>IF(N34="","",N34)</f>
        <v/>
      </c>
      <c r="G36" s="18" t="s">
        <v>70</v>
      </c>
      <c r="H36" s="23" t="str">
        <f>IF(L34="","",L34)</f>
        <v/>
      </c>
      <c r="I36" s="23" t="str">
        <f>IF(N35="","",N35)</f>
        <v/>
      </c>
      <c r="J36" s="18" t="s">
        <v>70</v>
      </c>
      <c r="K36" s="23" t="str">
        <f>IF(L35="","",L35)</f>
        <v/>
      </c>
      <c r="L36" s="77"/>
      <c r="M36" s="77"/>
      <c r="N36" s="77"/>
      <c r="O36" s="19">
        <f>IF(B36="","",(ISNUMBER(C36)*ISNUMBER(E36)*(C36&gt;E36))+(ISNUMBER(F36)*ISNUMBER(H36)*(F36&gt;H36))+(ISNUMBER(I36)*ISNUMBER(K36)*(I36&gt;K36)))</f>
        <v>0</v>
      </c>
      <c r="P36" s="19">
        <f>IF(B36="","",(ISNUMBER(C36)*ISNUMBER(E36)*(C36=E36))+(ISNUMBER(F36)*ISNUMBER(H36)*(F36=H36))+(ISNUMBER(I36)*ISNUMBER(K36)*(I36=K36)))</f>
        <v>0</v>
      </c>
      <c r="Q36" s="20">
        <f>IF(B36="","",(ISNUMBER(C36)*ISNUMBER(E36)*(C36&lt;E36))+(ISNUMBER(F36)*ISNUMBER(H36)*(F36&lt;H36))+(ISNUMBER(I36)*ISNUMBER(K36)*(I36&lt;K36)))</f>
        <v>0</v>
      </c>
      <c r="R36" s="24">
        <f>IF(B36="","",O36*3+P36)</f>
        <v>0</v>
      </c>
      <c r="S36" s="22">
        <f>IF(B36="","",IF(ISNUMBER(C36)*ISNUMBER(E36),C36,0)+IF(ISNUMBER(F36)*ISNUMBER(H36),F36,0)+IF(ISNUMBER(I36)*ISNUMBER(K36),I36,0))</f>
        <v>0</v>
      </c>
      <c r="T36" s="19">
        <f>IF(B36="","",IF(ISNUMBER(C36)*ISNUMBER(E36),E36,0)+IF(ISNUMBER(F36)*ISNUMBER(H36),H36,0)+IF(ISNUMBER(I36)*ISNUMBER(K36),K36,0))</f>
        <v>0</v>
      </c>
      <c r="U36" s="19">
        <f>IF(B36="","",S36-T36)</f>
        <v>0</v>
      </c>
      <c r="V36" s="55">
        <f>IF(B36="","",(B33&lt;&gt;"")*((R33&gt;R36)*1+(R33=R36)*(U33&gt;U36)*1+(R33=R36)*(U33=U36)*(S33&gt;S36)*1)+(B34&lt;&gt;"")*((R34&gt;R36)*1+(R34=R36)*(U34&gt;U36)*1+(R34=R36)*(U34=U36)*(S34&gt;S36)*1)+(B35&lt;&gt;"")*((R35&gt;R36)*1+(R35=R36)*(U35&gt;U36)*1+(R35=R36)*(U35=U36)*(S35&gt;S36)*1)+1)</f>
        <v>1</v>
      </c>
    </row>
    <row r="37" spans="1:22" ht="22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56"/>
    </row>
    <row r="38" spans="1:22" ht="33" customHeight="1">
      <c r="A38" s="11"/>
      <c r="B38" s="59" t="s">
        <v>120</v>
      </c>
      <c r="C38" s="78" t="str">
        <f>B39</f>
        <v>チームG-1</v>
      </c>
      <c r="D38" s="78"/>
      <c r="E38" s="78"/>
      <c r="F38" s="78" t="str">
        <f>B40</f>
        <v>チームG-2</v>
      </c>
      <c r="G38" s="78"/>
      <c r="H38" s="78"/>
      <c r="I38" s="78" t="str">
        <f>B41</f>
        <v>チームG-3</v>
      </c>
      <c r="J38" s="78"/>
      <c r="K38" s="78"/>
      <c r="L38" s="78" t="str">
        <f>B42</f>
        <v>チームG-4</v>
      </c>
      <c r="M38" s="78"/>
      <c r="N38" s="78"/>
      <c r="O38" s="1" t="s">
        <v>3</v>
      </c>
      <c r="P38" s="1" t="s">
        <v>4</v>
      </c>
      <c r="Q38" s="13" t="s">
        <v>5</v>
      </c>
      <c r="R38" s="14" t="s">
        <v>6</v>
      </c>
      <c r="S38" s="15" t="s">
        <v>7</v>
      </c>
      <c r="T38" s="1" t="s">
        <v>8</v>
      </c>
      <c r="U38" s="1" t="s">
        <v>9</v>
      </c>
      <c r="V38" s="57" t="s">
        <v>69</v>
      </c>
    </row>
    <row r="39" spans="1:22" ht="21.75" customHeight="1">
      <c r="A39" s="11"/>
      <c r="B39" s="16" t="str">
        <f>IF(date!B26="","",date!B26)</f>
        <v>チームG-1</v>
      </c>
      <c r="C39" s="77"/>
      <c r="D39" s="77"/>
      <c r="E39" s="77"/>
      <c r="F39" s="17"/>
      <c r="G39" s="18" t="s">
        <v>70</v>
      </c>
      <c r="H39" s="17"/>
      <c r="I39" s="17"/>
      <c r="J39" s="18" t="s">
        <v>70</v>
      </c>
      <c r="K39" s="17"/>
      <c r="L39" s="17"/>
      <c r="M39" s="18" t="s">
        <v>70</v>
      </c>
      <c r="N39" s="17"/>
      <c r="O39" s="19">
        <f>IF(B39="","",(ISNUMBER(F39)*ISNUMBER(H39)*(F39&gt;H39))+(ISNUMBER(I39)*ISNUMBER(K39)*(I39&gt;K39))+(ISNUMBER(L39)*ISNUMBER(N39)*(L39&gt;N39)))</f>
        <v>0</v>
      </c>
      <c r="P39" s="19">
        <f>IF(B39="","",(ISNUMBER(F39)*ISNUMBER(H39)*(F39=H39))+(ISNUMBER(I39)*ISNUMBER(K39)*(I39=K39))+(ISNUMBER(L39)*ISNUMBER(N39)*(L39=N39)))</f>
        <v>0</v>
      </c>
      <c r="Q39" s="20">
        <f>IF(B39="","",(ISNUMBER(F39)*ISNUMBER(H39)*(F39&lt;H39))+(ISNUMBER(I39)*ISNUMBER(K39)*(I39&lt;K39))+(ISNUMBER(L39)*ISNUMBER(N39)*(L39&lt;N39)))</f>
        <v>0</v>
      </c>
      <c r="R39" s="21">
        <f>IF(B39="","",O39*3+P39)</f>
        <v>0</v>
      </c>
      <c r="S39" s="22">
        <f>IF(B39="","",IF(ISNUMBER(F39)*ISNUMBER(H39),F39,0)+IF(ISNUMBER(I39)*ISNUMBER(K39),I39,0)+IF(ISNUMBER(L39)*ISNUMBER(N39),L39,0))</f>
        <v>0</v>
      </c>
      <c r="T39" s="19">
        <f>IF(B39="","",IF(ISNUMBER(F39)*ISNUMBER(H39),H39,0)+IF(ISNUMBER(I39)*ISNUMBER(K39),K39,0)+IF(ISNUMBER(L39)*ISNUMBER(N39),N39,0))</f>
        <v>0</v>
      </c>
      <c r="U39" s="19">
        <f>IF(B39="","",S39-T39)</f>
        <v>0</v>
      </c>
      <c r="V39" s="54">
        <f>IF(B39="","",(B40&lt;&gt;"")*((R40&gt;R39)*1+(R40=R39)*(U40&gt;U39)*1+(R40=R39)*(U40=U39)*(S40&gt;S39)*1)+(B41&lt;&gt;"")*((R41&gt;R39)*1+(R41=R39)*(U41&gt;U39)*1+(R41=R39)*(U41=U39)*(S41&gt;S39)*1)+(B42&lt;&gt;"")*((R42&gt;R39)*1+(R42=R39)*(U42&gt;U39)*1+(R42=R39)*(U42=U39)*(S42&gt;S39)*1)+1)</f>
        <v>1</v>
      </c>
    </row>
    <row r="40" spans="1:22" ht="21.75" customHeight="1">
      <c r="A40" s="11"/>
      <c r="B40" s="16" t="str">
        <f>IF(date!B27="","",date!B27)</f>
        <v>チームG-2</v>
      </c>
      <c r="C40" s="23" t="str">
        <f>IF(H39="","",H39)</f>
        <v/>
      </c>
      <c r="D40" s="18" t="s">
        <v>70</v>
      </c>
      <c r="E40" s="23" t="str">
        <f>IF(F39="","",F39)</f>
        <v/>
      </c>
      <c r="F40" s="77"/>
      <c r="G40" s="77"/>
      <c r="H40" s="77"/>
      <c r="I40" s="17"/>
      <c r="J40" s="18" t="s">
        <v>70</v>
      </c>
      <c r="K40" s="17"/>
      <c r="L40" s="17"/>
      <c r="M40" s="18" t="s">
        <v>70</v>
      </c>
      <c r="N40" s="17"/>
      <c r="O40" s="19">
        <f>IF(B40="","",(ISNUMBER(C40)*ISNUMBER(E40)*(C40&gt;E40))+(ISNUMBER(I40)*ISNUMBER(K40)*(I40&gt;K40))+(ISNUMBER(L40)*ISNUMBER(N40)*(L40&gt;N40)))</f>
        <v>0</v>
      </c>
      <c r="P40" s="19">
        <f>IF(B40="","",(ISNUMBER(C40)*ISNUMBER(E40)*(C40=E40))+(ISNUMBER(I40)*ISNUMBER(K40)*(I40=K40))+(ISNUMBER(L40)*ISNUMBER(N40)*(L40=N40)))</f>
        <v>0</v>
      </c>
      <c r="Q40" s="20">
        <f>IF(B40="","",(ISNUMBER(C40)*ISNUMBER(E40)*(C40&lt;E40))+(ISNUMBER(I40)*ISNUMBER(K40)*(I40&lt;K40))+(ISNUMBER(L40)*ISNUMBER(N40)*(L40&lt;N40)))</f>
        <v>0</v>
      </c>
      <c r="R40" s="21">
        <f>IF(B40="","",O40*3+P40)</f>
        <v>0</v>
      </c>
      <c r="S40" s="22">
        <f>IF(B40="","",IF(ISNUMBER(C40)*ISNUMBER(E40),C40,0)+IF(ISNUMBER(I40)*ISNUMBER(K40),I40,0)+IF(ISNUMBER(L40)*ISNUMBER(N40),L40,0))</f>
        <v>0</v>
      </c>
      <c r="T40" s="19">
        <f>IF(B40="","",IF(ISNUMBER(C40)*ISNUMBER(E40),E40,0)+IF(ISNUMBER(I40)*ISNUMBER(K40),K40,0)+IF(ISNUMBER(L40)*ISNUMBER(N40),N40,0))</f>
        <v>0</v>
      </c>
      <c r="U40" s="19">
        <f>IF(B40="","",S40-T40)</f>
        <v>0</v>
      </c>
      <c r="V40" s="54">
        <f>IF(B40="","",(B39&lt;&gt;"")*((R39&gt;R40)*1+(R39=R40)*(U39&gt;U40)*1+(R39=R40)*(U39=U40)*(S39&gt;S40)*1)+(B41&lt;&gt;"")*((R41&gt;R40)*1+(R41=R40)*(U41&gt;U40)*1+(R41=R40)*(U41=U40)*(S41&gt;S40)*1)+(B42&lt;&gt;"")*((R42&gt;R40)*1+(R42=R40)*(U42&gt;U40)*1+(R42=R40)*(U42=U40)*(S42&gt;S40)*1)+1)</f>
        <v>1</v>
      </c>
    </row>
    <row r="41" spans="1:22" ht="21.75" customHeight="1">
      <c r="A41" s="11"/>
      <c r="B41" s="16" t="str">
        <f>IF(date!B28="","",date!B28)</f>
        <v>チームG-3</v>
      </c>
      <c r="C41" s="23" t="str">
        <f>IF(K39="","",K39)</f>
        <v/>
      </c>
      <c r="D41" s="18" t="s">
        <v>70</v>
      </c>
      <c r="E41" s="23" t="str">
        <f>IF(I39="","",I39)</f>
        <v/>
      </c>
      <c r="F41" s="23" t="str">
        <f>IF(K40="","",K40)</f>
        <v/>
      </c>
      <c r="G41" s="18" t="s">
        <v>70</v>
      </c>
      <c r="H41" s="23" t="str">
        <f>IF(I40="","",I40)</f>
        <v/>
      </c>
      <c r="I41" s="77"/>
      <c r="J41" s="77"/>
      <c r="K41" s="77"/>
      <c r="L41" s="17"/>
      <c r="M41" s="18" t="s">
        <v>70</v>
      </c>
      <c r="N41" s="17"/>
      <c r="O41" s="19">
        <f>IF(B41="","",(ISNUMBER(C41)*ISNUMBER(E41)*(C41&gt;E41))+(ISNUMBER(F41)*ISNUMBER(H41)*(F41&gt;H41))+(ISNUMBER(L41)*ISNUMBER(N41)*(L41&gt;N41)))</f>
        <v>0</v>
      </c>
      <c r="P41" s="19">
        <f>IF(B41="","",(ISNUMBER(C41)*ISNUMBER(E41)*(C41=E41))+(ISNUMBER(F41)*ISNUMBER(H41)*(F41=H41))+(ISNUMBER(L41)*ISNUMBER(N41)*(L41=N41)))</f>
        <v>0</v>
      </c>
      <c r="Q41" s="20">
        <f>IF(B41="","",(ISNUMBER(C41)*ISNUMBER(E41)*(C41&lt;E41))+(ISNUMBER(F41)*ISNUMBER(H41)*(F41&lt;H41))+(ISNUMBER(L41)*ISNUMBER(N41)*(L41&lt;N41)))</f>
        <v>0</v>
      </c>
      <c r="R41" s="21">
        <f>IF(B41="","",O41*3+P41)</f>
        <v>0</v>
      </c>
      <c r="S41" s="22">
        <f>IF(B41="","",IF(ISNUMBER(C41)*ISNUMBER(E41),C41,0)+IF(ISNUMBER(F41)*ISNUMBER(H41),F41,0)+IF(ISNUMBER(L41)*ISNUMBER(N41),L41,0))</f>
        <v>0</v>
      </c>
      <c r="T41" s="19">
        <f>IF(B41="","",IF(ISNUMBER(C41)*ISNUMBER(E41),E41,0)+IF(ISNUMBER(F41)*ISNUMBER(H41),H41,0)+IF(ISNUMBER(L41)*ISNUMBER(N41),N41,0))</f>
        <v>0</v>
      </c>
      <c r="U41" s="19">
        <f>IF(B41="","",S41-T41)</f>
        <v>0</v>
      </c>
      <c r="V41" s="54">
        <f>IF(B41="","",(B39&lt;&gt;"")*((R39&gt;R41)*1+(R39=R41)*(U39&gt;U41)*1+(R39=R41)*(U39=U41)*(S39&gt;S41)*1)+(B40&lt;&gt;"")*((R40&gt;R41)*1+(R40=R41)*(U40&gt;U41)*1+(R40=R41)*(U40=U41)*(S40&gt;S41)*1)+(B42&lt;&gt;"")*((R42&gt;R41)*1+(R42=R41)*(U42&gt;U41)*1+(R42=R41)*(U42=U41)*(S42&gt;S41)*1)+1)</f>
        <v>1</v>
      </c>
    </row>
    <row r="42" spans="1:22" ht="21.75" customHeight="1">
      <c r="A42" s="11"/>
      <c r="B42" s="16" t="str">
        <f>IF(date!B29="","",date!B29)</f>
        <v>チームG-4</v>
      </c>
      <c r="C42" s="23" t="str">
        <f>IF(N39="","",N39)</f>
        <v/>
      </c>
      <c r="D42" s="18" t="s">
        <v>70</v>
      </c>
      <c r="E42" s="23" t="str">
        <f>IF(L39="","",L39)</f>
        <v/>
      </c>
      <c r="F42" s="23" t="str">
        <f>IF(N40="","",N40)</f>
        <v/>
      </c>
      <c r="G42" s="18" t="s">
        <v>70</v>
      </c>
      <c r="H42" s="23" t="str">
        <f>IF(L40="","",L40)</f>
        <v/>
      </c>
      <c r="I42" s="23" t="str">
        <f>IF(N41="","",N41)</f>
        <v/>
      </c>
      <c r="J42" s="18" t="s">
        <v>70</v>
      </c>
      <c r="K42" s="23" t="str">
        <f>IF(L41="","",L41)</f>
        <v/>
      </c>
      <c r="L42" s="77"/>
      <c r="M42" s="77"/>
      <c r="N42" s="77"/>
      <c r="O42" s="19">
        <f>IF(B42="","",(ISNUMBER(C42)*ISNUMBER(E42)*(C42&gt;E42))+(ISNUMBER(F42)*ISNUMBER(H42)*(F42&gt;H42))+(ISNUMBER(I42)*ISNUMBER(K42)*(I42&gt;K42)))</f>
        <v>0</v>
      </c>
      <c r="P42" s="19">
        <f>IF(B42="","",(ISNUMBER(C42)*ISNUMBER(E42)*(C42=E42))+(ISNUMBER(F42)*ISNUMBER(H42)*(F42=H42))+(ISNUMBER(I42)*ISNUMBER(K42)*(I42=K42)))</f>
        <v>0</v>
      </c>
      <c r="Q42" s="20">
        <f>IF(B42="","",(ISNUMBER(C42)*ISNUMBER(E42)*(C42&lt;E42))+(ISNUMBER(F42)*ISNUMBER(H42)*(F42&lt;H42))+(ISNUMBER(I42)*ISNUMBER(K42)*(I42&lt;K42)))</f>
        <v>0</v>
      </c>
      <c r="R42" s="24">
        <f>IF(B42="","",O42*3+P42)</f>
        <v>0</v>
      </c>
      <c r="S42" s="22">
        <f>IF(B42="","",IF(ISNUMBER(C42)*ISNUMBER(E42),C42,0)+IF(ISNUMBER(F42)*ISNUMBER(H42),F42,0)+IF(ISNUMBER(I42)*ISNUMBER(K42),I42,0))</f>
        <v>0</v>
      </c>
      <c r="T42" s="19">
        <f>IF(B42="","",IF(ISNUMBER(C42)*ISNUMBER(E42),E42,0)+IF(ISNUMBER(F42)*ISNUMBER(H42),H42,0)+IF(ISNUMBER(I42)*ISNUMBER(K42),K42,0))</f>
        <v>0</v>
      </c>
      <c r="U42" s="19">
        <f>IF(B42="","",S42-T42)</f>
        <v>0</v>
      </c>
      <c r="V42" s="55">
        <f>IF(B42="","",(B39&lt;&gt;"")*((R39&gt;R42)*1+(R39=R42)*(U39&gt;U42)*1+(R39=R42)*(U39=U42)*(S39&gt;S42)*1)+(B40&lt;&gt;"")*((R40&gt;R42)*1+(R40=R42)*(U40&gt;U42)*1+(R40=R42)*(U40=U42)*(S40&gt;S42)*1)+(B41&lt;&gt;"")*((R41&gt;R42)*1+(R41=R42)*(U41&gt;U42)*1+(R41=R42)*(U41=U42)*(S41&gt;S42)*1)+1)</f>
        <v>1</v>
      </c>
    </row>
    <row r="43" spans="1:22" ht="22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56"/>
    </row>
    <row r="44" spans="1:22" ht="30.75" customHeight="1">
      <c r="A44" s="11"/>
      <c r="B44" s="59" t="s">
        <v>75</v>
      </c>
      <c r="C44" s="78" t="str">
        <f>B45</f>
        <v>チームH-1</v>
      </c>
      <c r="D44" s="78"/>
      <c r="E44" s="78"/>
      <c r="F44" s="78" t="str">
        <f>B46</f>
        <v>チームH-2</v>
      </c>
      <c r="G44" s="78"/>
      <c r="H44" s="78"/>
      <c r="I44" s="78" t="str">
        <f>B47</f>
        <v>チームH-3</v>
      </c>
      <c r="J44" s="78"/>
      <c r="K44" s="78"/>
      <c r="L44" s="78" t="str">
        <f>B48</f>
        <v>チームH-4</v>
      </c>
      <c r="M44" s="78"/>
      <c r="N44" s="78"/>
      <c r="O44" s="1" t="s">
        <v>3</v>
      </c>
      <c r="P44" s="1" t="s">
        <v>4</v>
      </c>
      <c r="Q44" s="13" t="s">
        <v>5</v>
      </c>
      <c r="R44" s="14" t="s">
        <v>6</v>
      </c>
      <c r="S44" s="15" t="s">
        <v>7</v>
      </c>
      <c r="T44" s="1" t="s">
        <v>8</v>
      </c>
      <c r="U44" s="1" t="s">
        <v>9</v>
      </c>
      <c r="V44" s="57" t="s">
        <v>69</v>
      </c>
    </row>
    <row r="45" spans="1:22" ht="21.75" customHeight="1">
      <c r="A45" s="11"/>
      <c r="B45" s="16" t="str">
        <f>IF(date!B30="","",date!B30)</f>
        <v>チームH-1</v>
      </c>
      <c r="C45" s="77"/>
      <c r="D45" s="77"/>
      <c r="E45" s="77"/>
      <c r="F45" s="17"/>
      <c r="G45" s="18" t="s">
        <v>70</v>
      </c>
      <c r="H45" s="17"/>
      <c r="I45" s="17"/>
      <c r="J45" s="18" t="s">
        <v>70</v>
      </c>
      <c r="K45" s="17"/>
      <c r="L45" s="17"/>
      <c r="M45" s="18" t="s">
        <v>70</v>
      </c>
      <c r="N45" s="17"/>
      <c r="O45" s="19">
        <f>IF(B45="","",(ISNUMBER(F45)*ISNUMBER(H45)*(F45&gt;H45))+(ISNUMBER(I45)*ISNUMBER(K45)*(I45&gt;K45))+(ISNUMBER(L45)*ISNUMBER(N45)*(L45&gt;N45)))</f>
        <v>0</v>
      </c>
      <c r="P45" s="19">
        <f>IF(B45="","",(ISNUMBER(F45)*ISNUMBER(H45)*(F45=H45))+(ISNUMBER(I45)*ISNUMBER(K45)*(I45=K45))+(ISNUMBER(L45)*ISNUMBER(N45)*(L45=N45)))</f>
        <v>0</v>
      </c>
      <c r="Q45" s="20">
        <f>IF(B45="","",(ISNUMBER(F45)*ISNUMBER(H45)*(F45&lt;H45))+(ISNUMBER(I45)*ISNUMBER(K45)*(I45&lt;K45))+(ISNUMBER(L45)*ISNUMBER(N45)*(L45&lt;N45)))</f>
        <v>0</v>
      </c>
      <c r="R45" s="21">
        <f>IF(B45="","",O45*3+P45)</f>
        <v>0</v>
      </c>
      <c r="S45" s="22">
        <f>IF(B45="","",IF(ISNUMBER(F45)*ISNUMBER(H45),F45,0)+IF(ISNUMBER(I45)*ISNUMBER(K45),I45,0)+IF(ISNUMBER(L45)*ISNUMBER(N45),L45,0))</f>
        <v>0</v>
      </c>
      <c r="T45" s="19">
        <f>IF(B45="","",IF(ISNUMBER(F45)*ISNUMBER(H45),H45,0)+IF(ISNUMBER(I45)*ISNUMBER(K45),K45,0)+IF(ISNUMBER(L45)*ISNUMBER(N45),N45,0))</f>
        <v>0</v>
      </c>
      <c r="U45" s="19">
        <f>IF(B45="","",S45-T45)</f>
        <v>0</v>
      </c>
      <c r="V45" s="54">
        <f>IF(B45="","",(B46&lt;&gt;"")*((R46&gt;R45)*1+(R46=R45)*(U46&gt;U45)*1+(R46=R45)*(U46=U45)*(S46&gt;S45)*1)+(B47&lt;&gt;"")*((R47&gt;R45)*1+(R47=R45)*(U47&gt;U45)*1+(R47=R45)*(U47=U45)*(S47&gt;S45)*1)+(B48&lt;&gt;"")*((R48&gt;R45)*1+(R48=R45)*(U48&gt;U45)*1+(R48=R45)*(U48=U45)*(S48&gt;S45)*1)+1)</f>
        <v>1</v>
      </c>
    </row>
    <row r="46" spans="1:22" ht="21.75" customHeight="1">
      <c r="A46" s="11"/>
      <c r="B46" s="16" t="str">
        <f>IF(date!B31="","",date!B31)</f>
        <v>チームH-2</v>
      </c>
      <c r="C46" s="23" t="str">
        <f>IF(H45="","",H45)</f>
        <v/>
      </c>
      <c r="D46" s="18" t="s">
        <v>70</v>
      </c>
      <c r="E46" s="23" t="str">
        <f>IF(F45="","",F45)</f>
        <v/>
      </c>
      <c r="F46" s="77"/>
      <c r="G46" s="77"/>
      <c r="H46" s="77"/>
      <c r="I46" s="17"/>
      <c r="J46" s="18" t="s">
        <v>70</v>
      </c>
      <c r="K46" s="17"/>
      <c r="L46" s="17"/>
      <c r="M46" s="18" t="s">
        <v>70</v>
      </c>
      <c r="N46" s="17"/>
      <c r="O46" s="19">
        <f>IF(B46="","",(ISNUMBER(C46)*ISNUMBER(E46)*(C46&gt;E46))+(ISNUMBER(I46)*ISNUMBER(K46)*(I46&gt;K46))+(ISNUMBER(L46)*ISNUMBER(N46)*(L46&gt;N46)))</f>
        <v>0</v>
      </c>
      <c r="P46" s="19">
        <f>IF(B46="","",(ISNUMBER(C46)*ISNUMBER(E46)*(C46=E46))+(ISNUMBER(I46)*ISNUMBER(K46)*(I46=K46))+(ISNUMBER(L46)*ISNUMBER(N46)*(L46=N46)))</f>
        <v>0</v>
      </c>
      <c r="Q46" s="20">
        <f>IF(B46="","",(ISNUMBER(C46)*ISNUMBER(E46)*(C46&lt;E46))+(ISNUMBER(I46)*ISNUMBER(K46)*(I46&lt;K46))+(ISNUMBER(L46)*ISNUMBER(N46)*(L46&lt;N46)))</f>
        <v>0</v>
      </c>
      <c r="R46" s="21">
        <f>IF(B46="","",O46*3+P46)</f>
        <v>0</v>
      </c>
      <c r="S46" s="22">
        <f>IF(B46="","",IF(ISNUMBER(C46)*ISNUMBER(E46),C46,0)+IF(ISNUMBER(I46)*ISNUMBER(K46),I46,0)+IF(ISNUMBER(L46)*ISNUMBER(N46),L46,0))</f>
        <v>0</v>
      </c>
      <c r="T46" s="19">
        <f>IF(B46="","",IF(ISNUMBER(C46)*ISNUMBER(E46),E46,0)+IF(ISNUMBER(I46)*ISNUMBER(K46),K46,0)+IF(ISNUMBER(L46)*ISNUMBER(N46),N46,0))</f>
        <v>0</v>
      </c>
      <c r="U46" s="19">
        <f>IF(B46="","",S46-T46)</f>
        <v>0</v>
      </c>
      <c r="V46" s="54">
        <f>IF(B46="","",(B45&lt;&gt;"")*((R45&gt;R46)*1+(R45=R46)*(U45&gt;U46)*1+(R45=R46)*(U45=U46)*(S45&gt;S46)*1)+(B47&lt;&gt;"")*((R47&gt;R46)*1+(R47=R46)*(U47&gt;U46)*1+(R47=R46)*(U47=U46)*(S47&gt;S46)*1)+(B48&lt;&gt;"")*((R48&gt;R46)*1+(R48=R46)*(U48&gt;U46)*1+(R48=R46)*(U48=U46)*(S48&gt;S46)*1)+1)</f>
        <v>1</v>
      </c>
    </row>
    <row r="47" spans="1:22" ht="21.75" customHeight="1">
      <c r="A47" s="11"/>
      <c r="B47" s="16" t="str">
        <f>IF(date!B32="","",date!B32)</f>
        <v>チームH-3</v>
      </c>
      <c r="C47" s="23" t="str">
        <f>IF(K45="","",K45)</f>
        <v/>
      </c>
      <c r="D47" s="18" t="s">
        <v>70</v>
      </c>
      <c r="E47" s="23" t="str">
        <f>IF(I45="","",I45)</f>
        <v/>
      </c>
      <c r="F47" s="23" t="str">
        <f>IF(K46="","",K46)</f>
        <v/>
      </c>
      <c r="G47" s="18" t="s">
        <v>70</v>
      </c>
      <c r="H47" s="23" t="str">
        <f>IF(I46="","",I46)</f>
        <v/>
      </c>
      <c r="I47" s="77"/>
      <c r="J47" s="77"/>
      <c r="K47" s="77"/>
      <c r="L47" s="17"/>
      <c r="M47" s="18" t="s">
        <v>70</v>
      </c>
      <c r="N47" s="17"/>
      <c r="O47" s="19">
        <f>IF(B47="","",(ISNUMBER(C47)*ISNUMBER(E47)*(C47&gt;E47))+(ISNUMBER(F47)*ISNUMBER(H47)*(F47&gt;H47))+(ISNUMBER(L47)*ISNUMBER(N47)*(L47&gt;N47)))</f>
        <v>0</v>
      </c>
      <c r="P47" s="19">
        <f>IF(B47="","",(ISNUMBER(C47)*ISNUMBER(E47)*(C47=E47))+(ISNUMBER(F47)*ISNUMBER(H47)*(F47=H47))+(ISNUMBER(L47)*ISNUMBER(N47)*(L47=N47)))</f>
        <v>0</v>
      </c>
      <c r="Q47" s="20">
        <f>IF(B47="","",(ISNUMBER(C47)*ISNUMBER(E47)*(C47&lt;E47))+(ISNUMBER(F47)*ISNUMBER(H47)*(F47&lt;H47))+(ISNUMBER(L47)*ISNUMBER(N47)*(L47&lt;N47)))</f>
        <v>0</v>
      </c>
      <c r="R47" s="21">
        <f>IF(B47="","",O47*3+P47)</f>
        <v>0</v>
      </c>
      <c r="S47" s="22">
        <f>IF(B47="","",IF(ISNUMBER(C47)*ISNUMBER(E47),C47,0)+IF(ISNUMBER(F47)*ISNUMBER(H47),F47,0)+IF(ISNUMBER(L47)*ISNUMBER(N47),L47,0))</f>
        <v>0</v>
      </c>
      <c r="T47" s="19">
        <f>IF(B47="","",IF(ISNUMBER(C47)*ISNUMBER(E47),E47,0)+IF(ISNUMBER(F47)*ISNUMBER(H47),H47,0)+IF(ISNUMBER(L47)*ISNUMBER(N47),N47,0))</f>
        <v>0</v>
      </c>
      <c r="U47" s="19">
        <f>IF(B47="","",S47-T47)</f>
        <v>0</v>
      </c>
      <c r="V47" s="54">
        <f>IF(B47="","",(B45&lt;&gt;"")*((R45&gt;R47)*1+(R45=R47)*(U45&gt;U47)*1+(R45=R47)*(U45=U47)*(S45&gt;S47)*1)+(B46&lt;&gt;"")*((R46&gt;R47)*1+(R46=R47)*(U46&gt;U47)*1+(R46=R47)*(U46=U47)*(S46&gt;S47)*1)+(B48&lt;&gt;"")*((R48&gt;R47)*1+(R48=R47)*(U48&gt;U47)*1+(R48=R47)*(U48=U47)*(S48&gt;S47)*1)+1)</f>
        <v>1</v>
      </c>
    </row>
    <row r="48" spans="1:22" ht="21.75" customHeight="1">
      <c r="A48" s="11"/>
      <c r="B48" s="16" t="str">
        <f>IF(date!B33="","",date!B33)</f>
        <v>チームH-4</v>
      </c>
      <c r="C48" s="23" t="str">
        <f>IF(N45="","",N45)</f>
        <v/>
      </c>
      <c r="D48" s="18" t="s">
        <v>70</v>
      </c>
      <c r="E48" s="23" t="str">
        <f>IF(L45="","",L45)</f>
        <v/>
      </c>
      <c r="F48" s="23" t="str">
        <f>IF(N46="","",N46)</f>
        <v/>
      </c>
      <c r="G48" s="18" t="s">
        <v>70</v>
      </c>
      <c r="H48" s="23" t="str">
        <f>IF(L46="","",L46)</f>
        <v/>
      </c>
      <c r="I48" s="23" t="str">
        <f>IF(N47="","",N47)</f>
        <v/>
      </c>
      <c r="J48" s="18" t="s">
        <v>70</v>
      </c>
      <c r="K48" s="23" t="str">
        <f>IF(L47="","",L47)</f>
        <v/>
      </c>
      <c r="L48" s="77"/>
      <c r="M48" s="77"/>
      <c r="N48" s="77"/>
      <c r="O48" s="19">
        <f>IF(B48="","",(ISNUMBER(C48)*ISNUMBER(E48)*(C48&gt;E48))+(ISNUMBER(F48)*ISNUMBER(H48)*(F48&gt;H48))+(ISNUMBER(I48)*ISNUMBER(K48)*(I48&gt;K48)))</f>
        <v>0</v>
      </c>
      <c r="P48" s="19">
        <f>IF(B48="","",(ISNUMBER(C48)*ISNUMBER(E48)*(C48=E48))+(ISNUMBER(F48)*ISNUMBER(H48)*(F48=H48))+(ISNUMBER(I48)*ISNUMBER(K48)*(I48=K48)))</f>
        <v>0</v>
      </c>
      <c r="Q48" s="20">
        <f>IF(B48="","",(ISNUMBER(C48)*ISNUMBER(E48)*(C48&lt;E48))+(ISNUMBER(F48)*ISNUMBER(H48)*(F48&lt;H48))+(ISNUMBER(I48)*ISNUMBER(K48)*(I48&lt;K48)))</f>
        <v>0</v>
      </c>
      <c r="R48" s="24">
        <f>IF(B48="","",O48*3+P48)</f>
        <v>0</v>
      </c>
      <c r="S48" s="22">
        <f>IF(B48="","",IF(ISNUMBER(C48)*ISNUMBER(E48),C48,0)+IF(ISNUMBER(F48)*ISNUMBER(H48),F48,0)+IF(ISNUMBER(I48)*ISNUMBER(K48),I48,0))</f>
        <v>0</v>
      </c>
      <c r="T48" s="19">
        <f>IF(B48="","",IF(ISNUMBER(C48)*ISNUMBER(E48),E48,0)+IF(ISNUMBER(F48)*ISNUMBER(H48),H48,0)+IF(ISNUMBER(I48)*ISNUMBER(K48),K48,0))</f>
        <v>0</v>
      </c>
      <c r="U48" s="19">
        <f>IF(B48="","",S48-T48)</f>
        <v>0</v>
      </c>
      <c r="V48" s="55">
        <f>IF(B48="","",(B45&lt;&gt;"")*((R45&gt;R48)*1+(R45=R48)*(U45&gt;U48)*1+(R45=R48)*(U45=U48)*(S45&gt;S48)*1)+(B46&lt;&gt;"")*((R46&gt;R48)*1+(R46=R48)*(U46&gt;U48)*1+(R46=R48)*(U46=U48)*(S46&gt;S48)*1)+(B47&lt;&gt;"")*((R47&gt;R48)*1+(R47=R48)*(U47&gt;U48)*1+(R47=R48)*(U47=U48)*(S47&gt;S48)*1)+1)</f>
        <v>1</v>
      </c>
    </row>
    <row r="49" spans="1:22" ht="22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56"/>
    </row>
    <row r="50" spans="1:22" ht="21.75" customHeight="1">
      <c r="A50" s="11"/>
      <c r="B50" s="59" t="s">
        <v>76</v>
      </c>
      <c r="C50" s="78" t="str">
        <f>B51</f>
        <v>チームI-1</v>
      </c>
      <c r="D50" s="78"/>
      <c r="E50" s="78"/>
      <c r="F50" s="78" t="str">
        <f>B52</f>
        <v>チームI-2</v>
      </c>
      <c r="G50" s="78"/>
      <c r="H50" s="78"/>
      <c r="I50" s="78" t="str">
        <f>B53</f>
        <v>チームI-3</v>
      </c>
      <c r="J50" s="78"/>
      <c r="K50" s="78"/>
      <c r="L50" s="78" t="str">
        <f>B54</f>
        <v>チームI-4</v>
      </c>
      <c r="M50" s="78"/>
      <c r="N50" s="78"/>
      <c r="O50" s="1" t="s">
        <v>3</v>
      </c>
      <c r="P50" s="1" t="s">
        <v>4</v>
      </c>
      <c r="Q50" s="13" t="s">
        <v>5</v>
      </c>
      <c r="R50" s="14" t="s">
        <v>6</v>
      </c>
      <c r="S50" s="15" t="s">
        <v>7</v>
      </c>
      <c r="T50" s="1" t="s">
        <v>8</v>
      </c>
      <c r="U50" s="1" t="s">
        <v>9</v>
      </c>
      <c r="V50" s="57" t="s">
        <v>69</v>
      </c>
    </row>
    <row r="51" spans="1:22" ht="21.75" customHeight="1">
      <c r="A51" s="11"/>
      <c r="B51" s="16" t="str">
        <f>IF(date!B34="","",date!B34)</f>
        <v>チームI-1</v>
      </c>
      <c r="C51" s="77"/>
      <c r="D51" s="77"/>
      <c r="E51" s="77"/>
      <c r="F51" s="17"/>
      <c r="G51" s="18" t="s">
        <v>70</v>
      </c>
      <c r="H51" s="17"/>
      <c r="I51" s="17"/>
      <c r="J51" s="18" t="s">
        <v>70</v>
      </c>
      <c r="K51" s="17"/>
      <c r="L51" s="17"/>
      <c r="M51" s="18" t="s">
        <v>70</v>
      </c>
      <c r="N51" s="17"/>
      <c r="O51" s="19">
        <f>IF(B51="","",(ISNUMBER(F51)*ISNUMBER(H51)*(F51&gt;H51))+(ISNUMBER(I51)*ISNUMBER(K51)*(I51&gt;K51))+(ISNUMBER(L51)*ISNUMBER(N51)*(L51&gt;N51)))</f>
        <v>0</v>
      </c>
      <c r="P51" s="19">
        <f>IF(B51="","",(ISNUMBER(F51)*ISNUMBER(H51)*(F51=H51))+(ISNUMBER(I51)*ISNUMBER(K51)*(I51=K51))+(ISNUMBER(L51)*ISNUMBER(N51)*(L51=N51)))</f>
        <v>0</v>
      </c>
      <c r="Q51" s="20">
        <f>IF(B51="","",(ISNUMBER(F51)*ISNUMBER(H51)*(F51&lt;H51))+(ISNUMBER(I51)*ISNUMBER(K51)*(I51&lt;K51))+(ISNUMBER(L51)*ISNUMBER(N51)*(L51&lt;N51)))</f>
        <v>0</v>
      </c>
      <c r="R51" s="21">
        <f>IF(B51="","",O51*3+P51)</f>
        <v>0</v>
      </c>
      <c r="S51" s="22">
        <f>IF(B51="","",IF(ISNUMBER(F51)*ISNUMBER(H51),F51,0)+IF(ISNUMBER(I51)*ISNUMBER(K51),I51,0)+IF(ISNUMBER(L51)*ISNUMBER(N51),L51,0))</f>
        <v>0</v>
      </c>
      <c r="T51" s="19">
        <f>IF(B51="","",IF(ISNUMBER(F51)*ISNUMBER(H51),H51,0)+IF(ISNUMBER(I51)*ISNUMBER(K51),K51,0)+IF(ISNUMBER(L51)*ISNUMBER(N51),N51,0))</f>
        <v>0</v>
      </c>
      <c r="U51" s="19">
        <f>IF(B51="","",S51-T51)</f>
        <v>0</v>
      </c>
      <c r="V51" s="54">
        <f>IF(B51="","",(B52&lt;&gt;"")*((R52&gt;R51)*1+(R52=R51)*(U52&gt;U51)*1+(R52=R51)*(U52=U51)*(S52&gt;S51)*1)+(B53&lt;&gt;"")*((R53&gt;R51)*1+(R53=R51)*(U53&gt;U51)*1+(R53=R51)*(U53=U51)*(S53&gt;S51)*1)+(B54&lt;&gt;"")*((R54&gt;R51)*1+(R54=R51)*(U54&gt;U51)*1+(R54=R51)*(U54=U51)*(S54&gt;S51)*1)+1)</f>
        <v>1</v>
      </c>
    </row>
    <row r="52" spans="1:22" ht="21.75" customHeight="1">
      <c r="A52" s="11"/>
      <c r="B52" s="16" t="str">
        <f>IF(date!B35="","",date!B35)</f>
        <v>チームI-2</v>
      </c>
      <c r="C52" s="23" t="str">
        <f>IF(H51="","",H51)</f>
        <v/>
      </c>
      <c r="D52" s="18" t="s">
        <v>70</v>
      </c>
      <c r="E52" s="23" t="str">
        <f>IF(F51="","",F51)</f>
        <v/>
      </c>
      <c r="F52" s="77"/>
      <c r="G52" s="77"/>
      <c r="H52" s="77"/>
      <c r="I52" s="17"/>
      <c r="J52" s="18" t="s">
        <v>70</v>
      </c>
      <c r="K52" s="17"/>
      <c r="L52" s="17"/>
      <c r="M52" s="18" t="s">
        <v>70</v>
      </c>
      <c r="N52" s="17"/>
      <c r="O52" s="19">
        <f>IF(B52="","",(ISNUMBER(C52)*ISNUMBER(E52)*(C52&gt;E52))+(ISNUMBER(I52)*ISNUMBER(K52)*(I52&gt;K52))+(ISNUMBER(L52)*ISNUMBER(N52)*(L52&gt;N52)))</f>
        <v>0</v>
      </c>
      <c r="P52" s="19">
        <f>IF(B52="","",(ISNUMBER(C52)*ISNUMBER(E52)*(C52=E52))+(ISNUMBER(I52)*ISNUMBER(K52)*(I52=K52))+(ISNUMBER(L52)*ISNUMBER(N52)*(L52=N52)))</f>
        <v>0</v>
      </c>
      <c r="Q52" s="20">
        <f>IF(B52="","",(ISNUMBER(C52)*ISNUMBER(E52)*(C52&lt;E52))+(ISNUMBER(I52)*ISNUMBER(K52)*(I52&lt;K52))+(ISNUMBER(L52)*ISNUMBER(N52)*(L52&lt;N52)))</f>
        <v>0</v>
      </c>
      <c r="R52" s="21">
        <f>IF(B52="","",O52*3+P52)</f>
        <v>0</v>
      </c>
      <c r="S52" s="22">
        <f>IF(B52="","",IF(ISNUMBER(C52)*ISNUMBER(E52),C52,0)+IF(ISNUMBER(I52)*ISNUMBER(K52),I52,0)+IF(ISNUMBER(L52)*ISNUMBER(N52),L52,0))</f>
        <v>0</v>
      </c>
      <c r="T52" s="19">
        <f>IF(B52="","",IF(ISNUMBER(C52)*ISNUMBER(E52),E52,0)+IF(ISNUMBER(I52)*ISNUMBER(K52),K52,0)+IF(ISNUMBER(L52)*ISNUMBER(N52),N52,0))</f>
        <v>0</v>
      </c>
      <c r="U52" s="19">
        <f>IF(B52="","",S52-T52)</f>
        <v>0</v>
      </c>
      <c r="V52" s="54">
        <f>IF(B52="","",(B51&lt;&gt;"")*((R51&gt;R52)*1+(R51=R52)*(U51&gt;U52)*1+(R51=R52)*(U51=U52)*(S51&gt;S52)*1)+(B53&lt;&gt;"")*((R53&gt;R52)*1+(R53=R52)*(U53&gt;U52)*1+(R53=R52)*(U53=U52)*(S53&gt;S52)*1)+(B54&lt;&gt;"")*((R54&gt;R52)*1+(R54=R52)*(U54&gt;U52)*1+(R54=R52)*(U54=U52)*(S54&gt;S52)*1)+1)</f>
        <v>1</v>
      </c>
    </row>
    <row r="53" spans="1:22" ht="21.75" customHeight="1">
      <c r="A53" s="11"/>
      <c r="B53" s="16" t="str">
        <f>IF(date!B36="","",date!B36)</f>
        <v>チームI-3</v>
      </c>
      <c r="C53" s="23" t="str">
        <f>IF(K51="","",K51)</f>
        <v/>
      </c>
      <c r="D53" s="18" t="s">
        <v>70</v>
      </c>
      <c r="E53" s="23" t="str">
        <f>IF(I51="","",I51)</f>
        <v/>
      </c>
      <c r="F53" s="23" t="str">
        <f>IF(K52="","",K52)</f>
        <v/>
      </c>
      <c r="G53" s="18" t="s">
        <v>70</v>
      </c>
      <c r="H53" s="23" t="str">
        <f>IF(I52="","",I52)</f>
        <v/>
      </c>
      <c r="I53" s="77"/>
      <c r="J53" s="77"/>
      <c r="K53" s="77"/>
      <c r="L53" s="17"/>
      <c r="M53" s="18" t="s">
        <v>70</v>
      </c>
      <c r="N53" s="17"/>
      <c r="O53" s="19">
        <f>IF(B53="","",(ISNUMBER(C53)*ISNUMBER(E53)*(C53&gt;E53))+(ISNUMBER(F53)*ISNUMBER(H53)*(F53&gt;H53))+(ISNUMBER(L53)*ISNUMBER(N53)*(L53&gt;N53)))</f>
        <v>0</v>
      </c>
      <c r="P53" s="19">
        <f>IF(B53="","",(ISNUMBER(C53)*ISNUMBER(E53)*(C53=E53))+(ISNUMBER(F53)*ISNUMBER(H53)*(F53=H53))+(ISNUMBER(L53)*ISNUMBER(N53)*(L53=N53)))</f>
        <v>0</v>
      </c>
      <c r="Q53" s="20">
        <f>IF(B53="","",(ISNUMBER(C53)*ISNUMBER(E53)*(C53&lt;E53))+(ISNUMBER(F53)*ISNUMBER(H53)*(F53&lt;H53))+(ISNUMBER(L53)*ISNUMBER(N53)*(L53&lt;N53)))</f>
        <v>0</v>
      </c>
      <c r="R53" s="21">
        <f>IF(B53="","",O53*3+P53)</f>
        <v>0</v>
      </c>
      <c r="S53" s="22">
        <f>IF(B53="","",IF(ISNUMBER(C53)*ISNUMBER(E53),C53,0)+IF(ISNUMBER(F53)*ISNUMBER(H53),F53,0)+IF(ISNUMBER(L53)*ISNUMBER(N53),L53,0))</f>
        <v>0</v>
      </c>
      <c r="T53" s="19">
        <f>IF(B53="","",IF(ISNUMBER(C53)*ISNUMBER(E53),E53,0)+IF(ISNUMBER(F53)*ISNUMBER(H53),H53,0)+IF(ISNUMBER(L53)*ISNUMBER(N53),N53,0))</f>
        <v>0</v>
      </c>
      <c r="U53" s="19">
        <f>IF(B53="","",S53-T53)</f>
        <v>0</v>
      </c>
      <c r="V53" s="54">
        <f>IF(B53="","",(B51&lt;&gt;"")*((R51&gt;R53)*1+(R51=R53)*(U51&gt;U53)*1+(R51=R53)*(U51=U53)*(S51&gt;S53)*1)+(B52&lt;&gt;"")*((R52&gt;R53)*1+(R52=R53)*(U52&gt;U53)*1+(R52=R53)*(U52=U53)*(S52&gt;S53)*1)+(B54&lt;&gt;"")*((R54&gt;R53)*1+(R54=R53)*(U54&gt;U53)*1+(R54=R53)*(U54=U53)*(S54&gt;S53)*1)+1)</f>
        <v>1</v>
      </c>
    </row>
    <row r="54" spans="1:22" ht="21.75" customHeight="1">
      <c r="A54" s="11"/>
      <c r="B54" s="16" t="str">
        <f>IF(date!B37="","",date!B37)</f>
        <v>チームI-4</v>
      </c>
      <c r="C54" s="23" t="str">
        <f>IF(N51="","",N51)</f>
        <v/>
      </c>
      <c r="D54" s="18" t="s">
        <v>70</v>
      </c>
      <c r="E54" s="23" t="str">
        <f>IF(L51="","",L51)</f>
        <v/>
      </c>
      <c r="F54" s="23" t="str">
        <f>IF(N52="","",N52)</f>
        <v/>
      </c>
      <c r="G54" s="18" t="s">
        <v>70</v>
      </c>
      <c r="H54" s="23" t="str">
        <f>IF(L52="","",L52)</f>
        <v/>
      </c>
      <c r="I54" s="23" t="str">
        <f>IF(N53="","",N53)</f>
        <v/>
      </c>
      <c r="J54" s="18" t="s">
        <v>70</v>
      </c>
      <c r="K54" s="23" t="str">
        <f>IF(L53="","",L53)</f>
        <v/>
      </c>
      <c r="L54" s="77"/>
      <c r="M54" s="77"/>
      <c r="N54" s="77"/>
      <c r="O54" s="19">
        <f>IF(B54="","",(ISNUMBER(C54)*ISNUMBER(E54)*(C54&gt;E54))+(ISNUMBER(F54)*ISNUMBER(H54)*(F54&gt;H54))+(ISNUMBER(I54)*ISNUMBER(K54)*(I54&gt;K54)))</f>
        <v>0</v>
      </c>
      <c r="P54" s="19">
        <f>IF(B54="","",(ISNUMBER(C54)*ISNUMBER(E54)*(C54=E54))+(ISNUMBER(F54)*ISNUMBER(H54)*(F54=H54))+(ISNUMBER(I54)*ISNUMBER(K54)*(I54=K54)))</f>
        <v>0</v>
      </c>
      <c r="Q54" s="20">
        <f>IF(B54="","",(ISNUMBER(C54)*ISNUMBER(E54)*(C54&lt;E54))+(ISNUMBER(F54)*ISNUMBER(H54)*(F54&lt;H54))+(ISNUMBER(I54)*ISNUMBER(K54)*(I54&lt;K54)))</f>
        <v>0</v>
      </c>
      <c r="R54" s="24">
        <f>IF(B54="","",O54*3+P54)</f>
        <v>0</v>
      </c>
      <c r="S54" s="22">
        <f>IF(B54="","",IF(ISNUMBER(C54)*ISNUMBER(E54),C54,0)+IF(ISNUMBER(F54)*ISNUMBER(H54),F54,0)+IF(ISNUMBER(I54)*ISNUMBER(K54),I54,0))</f>
        <v>0</v>
      </c>
      <c r="T54" s="19">
        <f>IF(B54="","",IF(ISNUMBER(C54)*ISNUMBER(E54),E54,0)+IF(ISNUMBER(F54)*ISNUMBER(H54),H54,0)+IF(ISNUMBER(I54)*ISNUMBER(K54),K54,0))</f>
        <v>0</v>
      </c>
      <c r="U54" s="19">
        <f>IF(B54="","",S54-T54)</f>
        <v>0</v>
      </c>
      <c r="V54" s="55">
        <f>IF(B54="","",(B51&lt;&gt;"")*((R51&gt;R54)*1+(R51=R54)*(U51&gt;U54)*1+(R51=R54)*(U51=U54)*(S51&gt;S54)*1)+(B52&lt;&gt;"")*((R52&gt;R54)*1+(R52=R54)*(U52&gt;U54)*1+(R52=R54)*(U52=U54)*(S52&gt;S54)*1)+(B53&lt;&gt;"")*((R53&gt;R54)*1+(R53=R54)*(U53&gt;U54)*1+(R53=R54)*(U53=U54)*(S53&gt;S54)*1)+1)</f>
        <v>1</v>
      </c>
    </row>
    <row r="55" spans="1:22" ht="22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56"/>
    </row>
    <row r="56" spans="1:22" ht="28.5" customHeight="1">
      <c r="A56" s="11"/>
      <c r="B56" s="59" t="s">
        <v>77</v>
      </c>
      <c r="C56" s="78" t="str">
        <f>B57</f>
        <v>チームJ-1</v>
      </c>
      <c r="D56" s="78"/>
      <c r="E56" s="78"/>
      <c r="F56" s="78" t="str">
        <f>B58</f>
        <v>チームJ-2</v>
      </c>
      <c r="G56" s="78"/>
      <c r="H56" s="78"/>
      <c r="I56" s="78" t="str">
        <f>B59</f>
        <v>チームJ-3</v>
      </c>
      <c r="J56" s="78"/>
      <c r="K56" s="78"/>
      <c r="L56" s="78" t="str">
        <f>B60</f>
        <v>チームJ-4</v>
      </c>
      <c r="M56" s="78"/>
      <c r="N56" s="78"/>
      <c r="O56" s="1" t="s">
        <v>3</v>
      </c>
      <c r="P56" s="1" t="s">
        <v>4</v>
      </c>
      <c r="Q56" s="13" t="s">
        <v>5</v>
      </c>
      <c r="R56" s="14" t="s">
        <v>6</v>
      </c>
      <c r="S56" s="15" t="s">
        <v>7</v>
      </c>
      <c r="T56" s="1" t="s">
        <v>8</v>
      </c>
      <c r="U56" s="1" t="s">
        <v>9</v>
      </c>
      <c r="V56" s="57" t="s">
        <v>69</v>
      </c>
    </row>
    <row r="57" spans="1:22" ht="21.75" customHeight="1">
      <c r="A57" s="11"/>
      <c r="B57" s="16" t="str">
        <f>IF(date!B38="","",date!B38)</f>
        <v>チームJ-1</v>
      </c>
      <c r="C57" s="77"/>
      <c r="D57" s="77"/>
      <c r="E57" s="77"/>
      <c r="F57" s="17"/>
      <c r="G57" s="18" t="s">
        <v>70</v>
      </c>
      <c r="H57" s="17"/>
      <c r="I57" s="17"/>
      <c r="J57" s="18" t="s">
        <v>70</v>
      </c>
      <c r="K57" s="17"/>
      <c r="L57" s="17"/>
      <c r="M57" s="18" t="s">
        <v>70</v>
      </c>
      <c r="N57" s="17"/>
      <c r="O57" s="19">
        <f>IF(B57="","",(ISNUMBER(F57)*ISNUMBER(H57)*(F57&gt;H57))+(ISNUMBER(I57)*ISNUMBER(K57)*(I57&gt;K57))+(ISNUMBER(L57)*ISNUMBER(N57)*(L57&gt;N57)))</f>
        <v>0</v>
      </c>
      <c r="P57" s="19">
        <f>IF(B57="","",(ISNUMBER(F57)*ISNUMBER(H57)*(F57=H57))+(ISNUMBER(I57)*ISNUMBER(K57)*(I57=K57))+(ISNUMBER(L57)*ISNUMBER(N57)*(L57=N57)))</f>
        <v>0</v>
      </c>
      <c r="Q57" s="20">
        <f>IF(B57="","",(ISNUMBER(F57)*ISNUMBER(H57)*(F57&lt;H57))+(ISNUMBER(I57)*ISNUMBER(K57)*(I57&lt;K57))+(ISNUMBER(L57)*ISNUMBER(N57)*(L57&lt;N57)))</f>
        <v>0</v>
      </c>
      <c r="R57" s="21">
        <f>IF(B57="","",O57*3+P57)</f>
        <v>0</v>
      </c>
      <c r="S57" s="22">
        <f>IF(B57="","",IF(ISNUMBER(F57)*ISNUMBER(H57),F57,0)+IF(ISNUMBER(I57)*ISNUMBER(K57),I57,0)+IF(ISNUMBER(L57)*ISNUMBER(N57),L57,0))</f>
        <v>0</v>
      </c>
      <c r="T57" s="19">
        <f>IF(B57="","",IF(ISNUMBER(F57)*ISNUMBER(H57),H57,0)+IF(ISNUMBER(I57)*ISNUMBER(K57),K57,0)+IF(ISNUMBER(L57)*ISNUMBER(N57),N57,0))</f>
        <v>0</v>
      </c>
      <c r="U57" s="19">
        <f>IF(B57="","",S57-T57)</f>
        <v>0</v>
      </c>
      <c r="V57" s="54">
        <f>IF(B57="","",(B58&lt;&gt;"")*((R58&gt;R57)*1+(R58=R57)*(U58&gt;U57)*1+(R58=R57)*(U58=U57)*(S58&gt;S57)*1)+(B59&lt;&gt;"")*((R59&gt;R57)*1+(R59=R57)*(U59&gt;U57)*1+(R59=R57)*(U59=U57)*(S59&gt;S57)*1)+(B60&lt;&gt;"")*((R60&gt;R57)*1+(R60=R57)*(U60&gt;U57)*1+(R60=R57)*(U60=U57)*(S60&gt;S57)*1)+1)</f>
        <v>1</v>
      </c>
    </row>
    <row r="58" spans="1:22" ht="21.75" customHeight="1">
      <c r="A58" s="11"/>
      <c r="B58" s="16" t="str">
        <f>IF(date!B39="","",date!B39)</f>
        <v>チームJ-2</v>
      </c>
      <c r="C58" s="23" t="str">
        <f>IF(H57="","",H57)</f>
        <v/>
      </c>
      <c r="D58" s="18" t="s">
        <v>70</v>
      </c>
      <c r="E58" s="23" t="str">
        <f>IF(F57="","",F57)</f>
        <v/>
      </c>
      <c r="F58" s="77"/>
      <c r="G58" s="77"/>
      <c r="H58" s="77"/>
      <c r="I58" s="17"/>
      <c r="J58" s="18" t="s">
        <v>70</v>
      </c>
      <c r="K58" s="17"/>
      <c r="L58" s="17"/>
      <c r="M58" s="18" t="s">
        <v>70</v>
      </c>
      <c r="N58" s="17"/>
      <c r="O58" s="19">
        <f>IF(B58="","",(ISNUMBER(C58)*ISNUMBER(E58)*(C58&gt;E58))+(ISNUMBER(I58)*ISNUMBER(K58)*(I58&gt;K58))+(ISNUMBER(L58)*ISNUMBER(N58)*(L58&gt;N58)))</f>
        <v>0</v>
      </c>
      <c r="P58" s="19">
        <f>IF(B58="","",(ISNUMBER(C58)*ISNUMBER(E58)*(C58=E58))+(ISNUMBER(I58)*ISNUMBER(K58)*(I58=K58))+(ISNUMBER(L58)*ISNUMBER(N58)*(L58=N58)))</f>
        <v>0</v>
      </c>
      <c r="Q58" s="20">
        <f>IF(B58="","",(ISNUMBER(C58)*ISNUMBER(E58)*(C58&lt;E58))+(ISNUMBER(I58)*ISNUMBER(K58)*(I58&lt;K58))+(ISNUMBER(L58)*ISNUMBER(N58)*(L58&lt;N58)))</f>
        <v>0</v>
      </c>
      <c r="R58" s="21">
        <f>IF(B58="","",O58*3+P58)</f>
        <v>0</v>
      </c>
      <c r="S58" s="22">
        <f>IF(B58="","",IF(ISNUMBER(C58)*ISNUMBER(E58),C58,0)+IF(ISNUMBER(I58)*ISNUMBER(K58),I58,0)+IF(ISNUMBER(L58)*ISNUMBER(N58),L58,0))</f>
        <v>0</v>
      </c>
      <c r="T58" s="19">
        <f>IF(B58="","",IF(ISNUMBER(C58)*ISNUMBER(E58),E58,0)+IF(ISNUMBER(I58)*ISNUMBER(K58),K58,0)+IF(ISNUMBER(L58)*ISNUMBER(N58),N58,0))</f>
        <v>0</v>
      </c>
      <c r="U58" s="19">
        <f>IF(B58="","",S58-T58)</f>
        <v>0</v>
      </c>
      <c r="V58" s="54">
        <f>IF(B58="","",(B57&lt;&gt;"")*((R57&gt;R58)*1+(R57=R58)*(U57&gt;U58)*1+(R57=R58)*(U57=U58)*(S57&gt;S58)*1)+(B59&lt;&gt;"")*((R59&gt;R58)*1+(R59=R58)*(U59&gt;U58)*1+(R59=R58)*(U59=U58)*(S59&gt;S58)*1)+(B60&lt;&gt;"")*((R60&gt;R58)*1+(R60=R58)*(U60&gt;U58)*1+(R60=R58)*(U60=U58)*(S60&gt;S58)*1)+1)</f>
        <v>1</v>
      </c>
    </row>
    <row r="59" spans="1:22" ht="21.75" customHeight="1">
      <c r="A59" s="11"/>
      <c r="B59" s="16" t="str">
        <f>IF(date!B40="","",date!B40)</f>
        <v>チームJ-3</v>
      </c>
      <c r="C59" s="23" t="str">
        <f>IF(K57="","",K57)</f>
        <v/>
      </c>
      <c r="D59" s="18" t="s">
        <v>70</v>
      </c>
      <c r="E59" s="23" t="str">
        <f>IF(I57="","",I57)</f>
        <v/>
      </c>
      <c r="F59" s="23" t="str">
        <f>IF(K58="","",K58)</f>
        <v/>
      </c>
      <c r="G59" s="18" t="s">
        <v>70</v>
      </c>
      <c r="H59" s="23" t="str">
        <f>IF(I58="","",I58)</f>
        <v/>
      </c>
      <c r="I59" s="77"/>
      <c r="J59" s="77"/>
      <c r="K59" s="77"/>
      <c r="L59" s="17"/>
      <c r="M59" s="18" t="s">
        <v>70</v>
      </c>
      <c r="N59" s="17"/>
      <c r="O59" s="19">
        <f>IF(B59="","",(ISNUMBER(C59)*ISNUMBER(E59)*(C59&gt;E59))+(ISNUMBER(F59)*ISNUMBER(H59)*(F59&gt;H59))+(ISNUMBER(L59)*ISNUMBER(N59)*(L59&gt;N59)))</f>
        <v>0</v>
      </c>
      <c r="P59" s="19">
        <f>IF(B59="","",(ISNUMBER(C59)*ISNUMBER(E59)*(C59=E59))+(ISNUMBER(F59)*ISNUMBER(H59)*(F59=H59))+(ISNUMBER(L59)*ISNUMBER(N59)*(L59=N59)))</f>
        <v>0</v>
      </c>
      <c r="Q59" s="20">
        <f>IF(B59="","",(ISNUMBER(C59)*ISNUMBER(E59)*(C59&lt;E59))+(ISNUMBER(F59)*ISNUMBER(H59)*(F59&lt;H59))+(ISNUMBER(L59)*ISNUMBER(N59)*(L59&lt;N59)))</f>
        <v>0</v>
      </c>
      <c r="R59" s="21">
        <f>IF(B59="","",O59*3+P59)</f>
        <v>0</v>
      </c>
      <c r="S59" s="22">
        <f>IF(B59="","",IF(ISNUMBER(C59)*ISNUMBER(E59),C59,0)+IF(ISNUMBER(F59)*ISNUMBER(H59),F59,0)+IF(ISNUMBER(L59)*ISNUMBER(N59),L59,0))</f>
        <v>0</v>
      </c>
      <c r="T59" s="19">
        <f>IF(B59="","",IF(ISNUMBER(C59)*ISNUMBER(E59),E59,0)+IF(ISNUMBER(F59)*ISNUMBER(H59),H59,0)+IF(ISNUMBER(L59)*ISNUMBER(N59),N59,0))</f>
        <v>0</v>
      </c>
      <c r="U59" s="19">
        <f>IF(B59="","",S59-T59)</f>
        <v>0</v>
      </c>
      <c r="V59" s="54">
        <f>IF(B59="","",(B57&lt;&gt;"")*((R57&gt;R59)*1+(R57=R59)*(U57&gt;U59)*1+(R57=R59)*(U57=U59)*(S57&gt;S59)*1)+(B58&lt;&gt;"")*((R58&gt;R59)*1+(R58=R59)*(U58&gt;U59)*1+(R58=R59)*(U58=U59)*(S58&gt;S59)*1)+(B60&lt;&gt;"")*((R60&gt;R59)*1+(R60=R59)*(U60&gt;U59)*1+(R60=R59)*(U60=U59)*(S60&gt;S59)*1)+1)</f>
        <v>1</v>
      </c>
    </row>
    <row r="60" spans="1:22" ht="21.75" customHeight="1">
      <c r="A60" s="11"/>
      <c r="B60" s="16" t="str">
        <f>IF(date!B41="","",date!B41)</f>
        <v>チームJ-4</v>
      </c>
      <c r="C60" s="23" t="str">
        <f>IF(N57="","",N57)</f>
        <v/>
      </c>
      <c r="D60" s="18" t="s">
        <v>70</v>
      </c>
      <c r="E60" s="23" t="str">
        <f>IF(L57="","",L57)</f>
        <v/>
      </c>
      <c r="F60" s="23" t="str">
        <f>IF(N58="","",N58)</f>
        <v/>
      </c>
      <c r="G60" s="18" t="s">
        <v>70</v>
      </c>
      <c r="H60" s="23" t="str">
        <f>IF(L58="","",L58)</f>
        <v/>
      </c>
      <c r="I60" s="23" t="str">
        <f>IF(N59="","",N59)</f>
        <v/>
      </c>
      <c r="J60" s="18" t="s">
        <v>70</v>
      </c>
      <c r="K60" s="23" t="str">
        <f>IF(L59="","",L59)</f>
        <v/>
      </c>
      <c r="L60" s="77"/>
      <c r="M60" s="77"/>
      <c r="N60" s="77"/>
      <c r="O60" s="19">
        <f>IF(B60="","",(ISNUMBER(C60)*ISNUMBER(E60)*(C60&gt;E60))+(ISNUMBER(F60)*ISNUMBER(H60)*(F60&gt;H60))+(ISNUMBER(I60)*ISNUMBER(K60)*(I60&gt;K60)))</f>
        <v>0</v>
      </c>
      <c r="P60" s="19">
        <f>IF(B60="","",(ISNUMBER(C60)*ISNUMBER(E60)*(C60=E60))+(ISNUMBER(F60)*ISNUMBER(H60)*(F60=H60))+(ISNUMBER(I60)*ISNUMBER(K60)*(I60=K60)))</f>
        <v>0</v>
      </c>
      <c r="Q60" s="20">
        <f>IF(B60="","",(ISNUMBER(C60)*ISNUMBER(E60)*(C60&lt;E60))+(ISNUMBER(F60)*ISNUMBER(H60)*(F60&lt;H60))+(ISNUMBER(I60)*ISNUMBER(K60)*(I60&lt;K60)))</f>
        <v>0</v>
      </c>
      <c r="R60" s="24">
        <f>IF(B60="","",O60*3+P60)</f>
        <v>0</v>
      </c>
      <c r="S60" s="22">
        <f>IF(B60="","",IF(ISNUMBER(C60)*ISNUMBER(E60),C60,0)+IF(ISNUMBER(F60)*ISNUMBER(H60),F60,0)+IF(ISNUMBER(I60)*ISNUMBER(K60),I60,0))</f>
        <v>0</v>
      </c>
      <c r="T60" s="19">
        <f>IF(B60="","",IF(ISNUMBER(C60)*ISNUMBER(E60),E60,0)+IF(ISNUMBER(F60)*ISNUMBER(H60),H60,0)+IF(ISNUMBER(I60)*ISNUMBER(K60),K60,0))</f>
        <v>0</v>
      </c>
      <c r="U60" s="19">
        <f>IF(B60="","",S60-T60)</f>
        <v>0</v>
      </c>
      <c r="V60" s="55">
        <f>IF(B60="","",(B57&lt;&gt;"")*((R57&gt;R60)*1+(R57=R60)*(U57&gt;U60)*1+(R57=R60)*(U57=U60)*(S57&gt;S60)*1)+(B58&lt;&gt;"")*((R58&gt;R60)*1+(R58=R60)*(U58&gt;U60)*1+(R58=R60)*(U58=U60)*(S58&gt;S60)*1)+(B59&lt;&gt;"")*((R59&gt;R60)*1+(R59=R60)*(U59&gt;U60)*1+(R59=R60)*(U59=U60)*(S59&gt;S60)*1)+1)</f>
        <v>1</v>
      </c>
    </row>
    <row r="61" spans="1:22" ht="22.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56"/>
    </row>
    <row r="62" spans="1:22" ht="21.75" customHeight="1">
      <c r="A62" s="11"/>
      <c r="B62" s="59" t="s">
        <v>78</v>
      </c>
      <c r="C62" s="78" t="str">
        <f>B63</f>
        <v>チームK-1</v>
      </c>
      <c r="D62" s="78"/>
      <c r="E62" s="78"/>
      <c r="F62" s="78" t="str">
        <f>B64</f>
        <v>チームK-2</v>
      </c>
      <c r="G62" s="78"/>
      <c r="H62" s="78"/>
      <c r="I62" s="78" t="str">
        <f>B65</f>
        <v>チームK-3</v>
      </c>
      <c r="J62" s="78"/>
      <c r="K62" s="78"/>
      <c r="L62" s="78" t="str">
        <f>B66</f>
        <v>チームK-4</v>
      </c>
      <c r="M62" s="78"/>
      <c r="N62" s="78"/>
      <c r="O62" s="1" t="s">
        <v>3</v>
      </c>
      <c r="P62" s="1" t="s">
        <v>4</v>
      </c>
      <c r="Q62" s="13" t="s">
        <v>5</v>
      </c>
      <c r="R62" s="14" t="s">
        <v>6</v>
      </c>
      <c r="S62" s="15" t="s">
        <v>7</v>
      </c>
      <c r="T62" s="1" t="s">
        <v>8</v>
      </c>
      <c r="U62" s="1" t="s">
        <v>9</v>
      </c>
      <c r="V62" s="57" t="s">
        <v>69</v>
      </c>
    </row>
    <row r="63" spans="1:22" ht="21.75" customHeight="1">
      <c r="A63" s="11"/>
      <c r="B63" s="16" t="str">
        <f>IF(date!B42="","",date!B42)</f>
        <v>チームK-1</v>
      </c>
      <c r="C63" s="77"/>
      <c r="D63" s="77"/>
      <c r="E63" s="77"/>
      <c r="F63" s="17"/>
      <c r="G63" s="18" t="s">
        <v>70</v>
      </c>
      <c r="H63" s="17"/>
      <c r="I63" s="17"/>
      <c r="J63" s="18" t="s">
        <v>70</v>
      </c>
      <c r="K63" s="17"/>
      <c r="L63" s="17"/>
      <c r="M63" s="18" t="s">
        <v>70</v>
      </c>
      <c r="N63" s="17"/>
      <c r="O63" s="19">
        <f>IF(B63="","",(ISNUMBER(F63)*ISNUMBER(H63)*(F63&gt;H63))+(ISNUMBER(I63)*ISNUMBER(K63)*(I63&gt;K63))+(ISNUMBER(L63)*ISNUMBER(N63)*(L63&gt;N63)))</f>
        <v>0</v>
      </c>
      <c r="P63" s="19">
        <f>IF(B63="","",(ISNUMBER(F63)*ISNUMBER(H63)*(F63=H63))+(ISNUMBER(I63)*ISNUMBER(K63)*(I63=K63))+(ISNUMBER(L63)*ISNUMBER(N63)*(L63=N63)))</f>
        <v>0</v>
      </c>
      <c r="Q63" s="20">
        <f>IF(B63="","",(ISNUMBER(F63)*ISNUMBER(H63)*(F63&lt;H63))+(ISNUMBER(I63)*ISNUMBER(K63)*(I63&lt;K63))+(ISNUMBER(L63)*ISNUMBER(N63)*(L63&lt;N63)))</f>
        <v>0</v>
      </c>
      <c r="R63" s="21">
        <f>IF(B63="","",O63*3+P63)</f>
        <v>0</v>
      </c>
      <c r="S63" s="22">
        <f>IF(B63="","",IF(ISNUMBER(F63)*ISNUMBER(H63),F63,0)+IF(ISNUMBER(I63)*ISNUMBER(K63),I63,0)+IF(ISNUMBER(L63)*ISNUMBER(N63),L63,0))</f>
        <v>0</v>
      </c>
      <c r="T63" s="19">
        <f>IF(B63="","",IF(ISNUMBER(F63)*ISNUMBER(H63),H63,0)+IF(ISNUMBER(I63)*ISNUMBER(K63),K63,0)+IF(ISNUMBER(L63)*ISNUMBER(N63),N63,0))</f>
        <v>0</v>
      </c>
      <c r="U63" s="19">
        <f>IF(B63="","",S63-T63)</f>
        <v>0</v>
      </c>
      <c r="V63" s="54">
        <f>IF(B63="","",(B64&lt;&gt;"")*((R64&gt;R63)*1+(R64=R63)*(U64&gt;U63)*1+(R64=R63)*(U64=U63)*(S64&gt;S63)*1)+(B65&lt;&gt;"")*((R65&gt;R63)*1+(R65=R63)*(U65&gt;U63)*1+(R65=R63)*(U65=U63)*(S65&gt;S63)*1)+(B66&lt;&gt;"")*((R66&gt;R63)*1+(R66=R63)*(U66&gt;U63)*1+(R66=R63)*(U66=U63)*(S66&gt;S63)*1)+1)</f>
        <v>1</v>
      </c>
    </row>
    <row r="64" spans="1:22" ht="21.75" customHeight="1">
      <c r="A64" s="11"/>
      <c r="B64" s="16" t="str">
        <f>IF(date!B43="","",date!B43)</f>
        <v>チームK-2</v>
      </c>
      <c r="C64" s="23" t="str">
        <f>IF(H63="","",H63)</f>
        <v/>
      </c>
      <c r="D64" s="18" t="s">
        <v>70</v>
      </c>
      <c r="E64" s="23" t="str">
        <f>IF(F63="","",F63)</f>
        <v/>
      </c>
      <c r="F64" s="77"/>
      <c r="G64" s="77"/>
      <c r="H64" s="77"/>
      <c r="I64" s="17"/>
      <c r="J64" s="18" t="s">
        <v>70</v>
      </c>
      <c r="K64" s="17"/>
      <c r="L64" s="17"/>
      <c r="M64" s="18" t="s">
        <v>70</v>
      </c>
      <c r="N64" s="17"/>
      <c r="O64" s="19">
        <f>IF(B64="","",(ISNUMBER(C64)*ISNUMBER(E64)*(C64&gt;E64))+(ISNUMBER(I64)*ISNUMBER(K64)*(I64&gt;K64))+(ISNUMBER(L64)*ISNUMBER(N64)*(L64&gt;N64)))</f>
        <v>0</v>
      </c>
      <c r="P64" s="19">
        <f>IF(B64="","",(ISNUMBER(C64)*ISNUMBER(E64)*(C64=E64))+(ISNUMBER(I64)*ISNUMBER(K64)*(I64=K64))+(ISNUMBER(L64)*ISNUMBER(N64)*(L64=N64)))</f>
        <v>0</v>
      </c>
      <c r="Q64" s="20">
        <f>IF(B64="","",(ISNUMBER(C64)*ISNUMBER(E64)*(C64&lt;E64))+(ISNUMBER(I64)*ISNUMBER(K64)*(I64&lt;K64))+(ISNUMBER(L64)*ISNUMBER(N64)*(L64&lt;N64)))</f>
        <v>0</v>
      </c>
      <c r="R64" s="21">
        <f>IF(B64="","",O64*3+P64)</f>
        <v>0</v>
      </c>
      <c r="S64" s="22">
        <f>IF(B64="","",IF(ISNUMBER(C64)*ISNUMBER(E64),C64,0)+IF(ISNUMBER(I64)*ISNUMBER(K64),I64,0)+IF(ISNUMBER(L64)*ISNUMBER(N64),L64,0))</f>
        <v>0</v>
      </c>
      <c r="T64" s="19">
        <f>IF(B64="","",IF(ISNUMBER(C64)*ISNUMBER(E64),E64,0)+IF(ISNUMBER(I64)*ISNUMBER(K64),K64,0)+IF(ISNUMBER(L64)*ISNUMBER(N64),N64,0))</f>
        <v>0</v>
      </c>
      <c r="U64" s="19">
        <f>IF(B64="","",S64-T64)</f>
        <v>0</v>
      </c>
      <c r="V64" s="54">
        <f>IF(B64="","",(B63&lt;&gt;"")*((R63&gt;R64)*1+(R63=R64)*(U63&gt;U64)*1+(R63=R64)*(U63=U64)*(S63&gt;S64)*1)+(B65&lt;&gt;"")*((R65&gt;R64)*1+(R65=R64)*(U65&gt;U64)*1+(R65=R64)*(U65=U64)*(S65&gt;S64)*1)+(B66&lt;&gt;"")*((R66&gt;R64)*1+(R66=R64)*(U66&gt;U64)*1+(R66=R64)*(U66=U64)*(S66&gt;S64)*1)+1)</f>
        <v>1</v>
      </c>
    </row>
    <row r="65" spans="1:22" ht="21.75" customHeight="1">
      <c r="A65" s="11"/>
      <c r="B65" s="16" t="str">
        <f>IF(date!B44="","",date!B44)</f>
        <v>チームK-3</v>
      </c>
      <c r="C65" s="23" t="str">
        <f>IF(K63="","",K63)</f>
        <v/>
      </c>
      <c r="D65" s="18" t="s">
        <v>70</v>
      </c>
      <c r="E65" s="23" t="str">
        <f>IF(I63="","",I63)</f>
        <v/>
      </c>
      <c r="F65" s="23" t="str">
        <f>IF(K64="","",K64)</f>
        <v/>
      </c>
      <c r="G65" s="18" t="s">
        <v>70</v>
      </c>
      <c r="H65" s="23" t="str">
        <f>IF(I64="","",I64)</f>
        <v/>
      </c>
      <c r="I65" s="77"/>
      <c r="J65" s="77"/>
      <c r="K65" s="77"/>
      <c r="L65" s="17"/>
      <c r="M65" s="18" t="s">
        <v>70</v>
      </c>
      <c r="N65" s="17"/>
      <c r="O65" s="19">
        <f>IF(B65="","",(ISNUMBER(C65)*ISNUMBER(E65)*(C65&gt;E65))+(ISNUMBER(F65)*ISNUMBER(H65)*(F65&gt;H65))+(ISNUMBER(L65)*ISNUMBER(N65)*(L65&gt;N65)))</f>
        <v>0</v>
      </c>
      <c r="P65" s="19">
        <f>IF(B65="","",(ISNUMBER(C65)*ISNUMBER(E65)*(C65=E65))+(ISNUMBER(F65)*ISNUMBER(H65)*(F65=H65))+(ISNUMBER(L65)*ISNUMBER(N65)*(L65=N65)))</f>
        <v>0</v>
      </c>
      <c r="Q65" s="20">
        <f>IF(B65="","",(ISNUMBER(C65)*ISNUMBER(E65)*(C65&lt;E65))+(ISNUMBER(F65)*ISNUMBER(H65)*(F65&lt;H65))+(ISNUMBER(L65)*ISNUMBER(N65)*(L65&lt;N65)))</f>
        <v>0</v>
      </c>
      <c r="R65" s="21">
        <f>IF(B65="","",O65*3+P65)</f>
        <v>0</v>
      </c>
      <c r="S65" s="22">
        <f>IF(B65="","",IF(ISNUMBER(C65)*ISNUMBER(E65),C65,0)+IF(ISNUMBER(F65)*ISNUMBER(H65),F65,0)+IF(ISNUMBER(L65)*ISNUMBER(N65),L65,0))</f>
        <v>0</v>
      </c>
      <c r="T65" s="19">
        <f>IF(B65="","",IF(ISNUMBER(C65)*ISNUMBER(E65),E65,0)+IF(ISNUMBER(F65)*ISNUMBER(H65),H65,0)+IF(ISNUMBER(L65)*ISNUMBER(N65),N65,0))</f>
        <v>0</v>
      </c>
      <c r="U65" s="19">
        <f>IF(B65="","",S65-T65)</f>
        <v>0</v>
      </c>
      <c r="V65" s="54">
        <f>IF(B65="","",(B63&lt;&gt;"")*((R63&gt;R65)*1+(R63=R65)*(U63&gt;U65)*1+(R63=R65)*(U63=U65)*(S63&gt;S65)*1)+(B64&lt;&gt;"")*((R64&gt;R65)*1+(R64=R65)*(U64&gt;U65)*1+(R64=R65)*(U64=U65)*(S64&gt;S65)*1)+(B66&lt;&gt;"")*((R66&gt;R65)*1+(R66=R65)*(U66&gt;U65)*1+(R66=R65)*(U66=U65)*(S66&gt;S65)*1)+1)</f>
        <v>1</v>
      </c>
    </row>
    <row r="66" spans="1:22" ht="21.75" customHeight="1">
      <c r="A66" s="11"/>
      <c r="B66" s="16" t="str">
        <f>IF(date!B45="","",date!B45)</f>
        <v>チームK-4</v>
      </c>
      <c r="C66" s="23" t="str">
        <f>IF(N63="","",N63)</f>
        <v/>
      </c>
      <c r="D66" s="18" t="s">
        <v>70</v>
      </c>
      <c r="E66" s="23" t="str">
        <f>IF(L63="","",L63)</f>
        <v/>
      </c>
      <c r="F66" s="23" t="str">
        <f>IF(N64="","",N64)</f>
        <v/>
      </c>
      <c r="G66" s="18" t="s">
        <v>70</v>
      </c>
      <c r="H66" s="23" t="str">
        <f>IF(L64="","",L64)</f>
        <v/>
      </c>
      <c r="I66" s="23" t="str">
        <f>IF(N65="","",N65)</f>
        <v/>
      </c>
      <c r="J66" s="18" t="s">
        <v>70</v>
      </c>
      <c r="K66" s="23" t="str">
        <f>IF(L65="","",L65)</f>
        <v/>
      </c>
      <c r="L66" s="77"/>
      <c r="M66" s="77"/>
      <c r="N66" s="77"/>
      <c r="O66" s="19">
        <f>IF(B66="","",(ISNUMBER(C66)*ISNUMBER(E66)*(C66&gt;E66))+(ISNUMBER(F66)*ISNUMBER(H66)*(F66&gt;H66))+(ISNUMBER(I66)*ISNUMBER(K66)*(I66&gt;K66)))</f>
        <v>0</v>
      </c>
      <c r="P66" s="19">
        <f>IF(B66="","",(ISNUMBER(C66)*ISNUMBER(E66)*(C66=E66))+(ISNUMBER(F66)*ISNUMBER(H66)*(F66=H66))+(ISNUMBER(I66)*ISNUMBER(K66)*(I66=K66)))</f>
        <v>0</v>
      </c>
      <c r="Q66" s="20">
        <f>IF(B66="","",(ISNUMBER(C66)*ISNUMBER(E66)*(C66&lt;E66))+(ISNUMBER(F66)*ISNUMBER(H66)*(F66&lt;H66))+(ISNUMBER(I66)*ISNUMBER(K66)*(I66&lt;K66)))</f>
        <v>0</v>
      </c>
      <c r="R66" s="24">
        <f>IF(B66="","",O66*3+P66)</f>
        <v>0</v>
      </c>
      <c r="S66" s="22">
        <f>IF(B66="","",IF(ISNUMBER(C66)*ISNUMBER(E66),C66,0)+IF(ISNUMBER(F66)*ISNUMBER(H66),F66,0)+IF(ISNUMBER(I66)*ISNUMBER(K66),I66,0))</f>
        <v>0</v>
      </c>
      <c r="T66" s="19">
        <f>IF(B66="","",IF(ISNUMBER(C66)*ISNUMBER(E66),E66,0)+IF(ISNUMBER(F66)*ISNUMBER(H66),H66,0)+IF(ISNUMBER(I66)*ISNUMBER(K66),K66,0))</f>
        <v>0</v>
      </c>
      <c r="U66" s="19">
        <f>IF(B66="","",S66-T66)</f>
        <v>0</v>
      </c>
      <c r="V66" s="55">
        <f>IF(B66="","",(B63&lt;&gt;"")*((R63&gt;R66)*1+(R63=R66)*(U63&gt;U66)*1+(R63=R66)*(U63=U66)*(S63&gt;S66)*1)+(B64&lt;&gt;"")*((R64&gt;R66)*1+(R64=R66)*(U64&gt;U66)*1+(R64=R66)*(U64=U66)*(S64&gt;S66)*1)+(B65&lt;&gt;"")*((R65&gt;R66)*1+(R65=R66)*(U65&gt;U66)*1+(R65=R66)*(U65=U66)*(S65&gt;S66)*1)+1)</f>
        <v>1</v>
      </c>
    </row>
    <row r="67" spans="1:22" ht="22.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56"/>
    </row>
    <row r="68" spans="1:22" ht="21.75" customHeight="1">
      <c r="A68" s="11"/>
      <c r="B68" s="59" t="s">
        <v>79</v>
      </c>
      <c r="C68" s="78" t="str">
        <f>B69</f>
        <v>チームL-1</v>
      </c>
      <c r="D68" s="78"/>
      <c r="E68" s="78"/>
      <c r="F68" s="78" t="str">
        <f>B70</f>
        <v>チームL-2</v>
      </c>
      <c r="G68" s="78"/>
      <c r="H68" s="78"/>
      <c r="I68" s="78" t="str">
        <f>B71</f>
        <v>チームL-3</v>
      </c>
      <c r="J68" s="78"/>
      <c r="K68" s="78"/>
      <c r="L68" s="78" t="str">
        <f>B72</f>
        <v>チームL-4</v>
      </c>
      <c r="M68" s="78"/>
      <c r="N68" s="78"/>
      <c r="O68" s="1" t="s">
        <v>3</v>
      </c>
      <c r="P68" s="1" t="s">
        <v>4</v>
      </c>
      <c r="Q68" s="13" t="s">
        <v>5</v>
      </c>
      <c r="R68" s="14" t="s">
        <v>6</v>
      </c>
      <c r="S68" s="15" t="s">
        <v>7</v>
      </c>
      <c r="T68" s="1" t="s">
        <v>8</v>
      </c>
      <c r="U68" s="1" t="s">
        <v>9</v>
      </c>
      <c r="V68" s="57" t="s">
        <v>69</v>
      </c>
    </row>
    <row r="69" spans="1:22" ht="21.75" customHeight="1">
      <c r="A69" s="11"/>
      <c r="B69" s="16" t="str">
        <f>IF(date!B46="","",date!B46)</f>
        <v>チームL-1</v>
      </c>
      <c r="C69" s="77"/>
      <c r="D69" s="77"/>
      <c r="E69" s="77"/>
      <c r="F69" s="17"/>
      <c r="G69" s="18" t="s">
        <v>70</v>
      </c>
      <c r="H69" s="17"/>
      <c r="I69" s="17"/>
      <c r="J69" s="18" t="s">
        <v>70</v>
      </c>
      <c r="K69" s="17"/>
      <c r="L69" s="17"/>
      <c r="M69" s="18" t="s">
        <v>70</v>
      </c>
      <c r="N69" s="17"/>
      <c r="O69" s="19">
        <f>IF(B69="","",(ISNUMBER(F69)*ISNUMBER(H69)*(F69&gt;H69))+(ISNUMBER(I69)*ISNUMBER(K69)*(I69&gt;K69))+(ISNUMBER(L69)*ISNUMBER(N69)*(L69&gt;N69)))</f>
        <v>0</v>
      </c>
      <c r="P69" s="19">
        <f>IF(B69="","",(ISNUMBER(F69)*ISNUMBER(H69)*(F69=H69))+(ISNUMBER(I69)*ISNUMBER(K69)*(I69=K69))+(ISNUMBER(L69)*ISNUMBER(N69)*(L69=N69)))</f>
        <v>0</v>
      </c>
      <c r="Q69" s="20">
        <f>IF(B69="","",(ISNUMBER(F69)*ISNUMBER(H69)*(F69&lt;H69))+(ISNUMBER(I69)*ISNUMBER(K69)*(I69&lt;K69))+(ISNUMBER(L69)*ISNUMBER(N69)*(L69&lt;N69)))</f>
        <v>0</v>
      </c>
      <c r="R69" s="21">
        <f>IF(B69="","",O69*3+P69)</f>
        <v>0</v>
      </c>
      <c r="S69" s="22">
        <f>IF(B69="","",IF(ISNUMBER(F69)*ISNUMBER(H69),F69,0)+IF(ISNUMBER(I69)*ISNUMBER(K69),I69,0)+IF(ISNUMBER(L69)*ISNUMBER(N69),L69,0))</f>
        <v>0</v>
      </c>
      <c r="T69" s="19">
        <f>IF(B69="","",IF(ISNUMBER(F69)*ISNUMBER(H69),H69,0)+IF(ISNUMBER(I69)*ISNUMBER(K69),K69,0)+IF(ISNUMBER(L69)*ISNUMBER(N69),N69,0))</f>
        <v>0</v>
      </c>
      <c r="U69" s="19">
        <f>IF(B69="","",S69-T69)</f>
        <v>0</v>
      </c>
      <c r="V69" s="54">
        <f>IF(B69="","",(B70&lt;&gt;"")*((R70&gt;R69)*1+(R70=R69)*(U70&gt;U69)*1+(R70=R69)*(U70=U69)*(S70&gt;S69)*1)+(B71&lt;&gt;"")*((R71&gt;R69)*1+(R71=R69)*(U71&gt;U69)*1+(R71=R69)*(U71=U69)*(S71&gt;S69)*1)+(B72&lt;&gt;"")*((R72&gt;R69)*1+(R72=R69)*(U72&gt;U69)*1+(R72=R69)*(U72=U69)*(S72&gt;S69)*1)+1)</f>
        <v>1</v>
      </c>
    </row>
    <row r="70" spans="1:22" ht="21.75" customHeight="1">
      <c r="A70" s="11"/>
      <c r="B70" s="16" t="str">
        <f>IF(date!B47="","",date!B47)</f>
        <v>チームL-2</v>
      </c>
      <c r="C70" s="23" t="str">
        <f>IF(H69="","",H69)</f>
        <v/>
      </c>
      <c r="D70" s="18" t="s">
        <v>70</v>
      </c>
      <c r="E70" s="23" t="str">
        <f>IF(F69="","",F69)</f>
        <v/>
      </c>
      <c r="F70" s="77"/>
      <c r="G70" s="77"/>
      <c r="H70" s="77"/>
      <c r="I70" s="17"/>
      <c r="J70" s="18" t="s">
        <v>70</v>
      </c>
      <c r="K70" s="17"/>
      <c r="L70" s="17"/>
      <c r="M70" s="18" t="s">
        <v>70</v>
      </c>
      <c r="N70" s="17"/>
      <c r="O70" s="19">
        <f>IF(B70="","",(ISNUMBER(C70)*ISNUMBER(E70)*(C70&gt;E70))+(ISNUMBER(I70)*ISNUMBER(K70)*(I70&gt;K70))+(ISNUMBER(L70)*ISNUMBER(N70)*(L70&gt;N70)))</f>
        <v>0</v>
      </c>
      <c r="P70" s="19">
        <f>IF(B70="","",(ISNUMBER(C70)*ISNUMBER(E70)*(C70=E70))+(ISNUMBER(I70)*ISNUMBER(K70)*(I70=K70))+(ISNUMBER(L70)*ISNUMBER(N70)*(L70=N70)))</f>
        <v>0</v>
      </c>
      <c r="Q70" s="20">
        <f>IF(B70="","",(ISNUMBER(C70)*ISNUMBER(E70)*(C70&lt;E70))+(ISNUMBER(I70)*ISNUMBER(K70)*(I70&lt;K70))+(ISNUMBER(L70)*ISNUMBER(N70)*(L70&lt;N70)))</f>
        <v>0</v>
      </c>
      <c r="R70" s="21">
        <f>IF(B70="","",O70*3+P70)</f>
        <v>0</v>
      </c>
      <c r="S70" s="22">
        <f>IF(B70="","",IF(ISNUMBER(C70)*ISNUMBER(E70),C70,0)+IF(ISNUMBER(I70)*ISNUMBER(K70),I70,0)+IF(ISNUMBER(L70)*ISNUMBER(N70),L70,0))</f>
        <v>0</v>
      </c>
      <c r="T70" s="19">
        <f>IF(B70="","",IF(ISNUMBER(C70)*ISNUMBER(E70),E70,0)+IF(ISNUMBER(I70)*ISNUMBER(K70),K70,0)+IF(ISNUMBER(L70)*ISNUMBER(N70),N70,0))</f>
        <v>0</v>
      </c>
      <c r="U70" s="19">
        <f>IF(B70="","",S70-T70)</f>
        <v>0</v>
      </c>
      <c r="V70" s="54">
        <f>IF(B70="","",(B69&lt;&gt;"")*((R69&gt;R70)*1+(R69=R70)*(U69&gt;U70)*1+(R69=R70)*(U69=U70)*(S69&gt;S70)*1)+(B71&lt;&gt;"")*((R71&gt;R70)*1+(R71=R70)*(U71&gt;U70)*1+(R71=R70)*(U71=U70)*(S71&gt;S70)*1)+(B72&lt;&gt;"")*((R72&gt;R70)*1+(R72=R70)*(U72&gt;U70)*1+(R72=R70)*(U72=U70)*(S72&gt;S70)*1)+1)</f>
        <v>1</v>
      </c>
    </row>
    <row r="71" spans="1:22" ht="21.75" customHeight="1">
      <c r="A71" s="11"/>
      <c r="B71" s="16" t="str">
        <f>IF(date!B48="","",date!B48)</f>
        <v>チームL-3</v>
      </c>
      <c r="C71" s="23" t="str">
        <f>IF(K69="","",K69)</f>
        <v/>
      </c>
      <c r="D71" s="18" t="s">
        <v>70</v>
      </c>
      <c r="E71" s="23" t="str">
        <f>IF(I69="","",I69)</f>
        <v/>
      </c>
      <c r="F71" s="23" t="str">
        <f>IF(K70="","",K70)</f>
        <v/>
      </c>
      <c r="G71" s="18" t="s">
        <v>70</v>
      </c>
      <c r="H71" s="23" t="str">
        <f>IF(I70="","",I70)</f>
        <v/>
      </c>
      <c r="I71" s="77"/>
      <c r="J71" s="77"/>
      <c r="K71" s="77"/>
      <c r="L71" s="17"/>
      <c r="M71" s="18" t="s">
        <v>70</v>
      </c>
      <c r="N71" s="17"/>
      <c r="O71" s="19">
        <f>IF(B71="","",(ISNUMBER(C71)*ISNUMBER(E71)*(C71&gt;E71))+(ISNUMBER(F71)*ISNUMBER(H71)*(F71&gt;H71))+(ISNUMBER(L71)*ISNUMBER(N71)*(L71&gt;N71)))</f>
        <v>0</v>
      </c>
      <c r="P71" s="19">
        <f>IF(B71="","",(ISNUMBER(C71)*ISNUMBER(E71)*(C71=E71))+(ISNUMBER(F71)*ISNUMBER(H71)*(F71=H71))+(ISNUMBER(L71)*ISNUMBER(N71)*(L71=N71)))</f>
        <v>0</v>
      </c>
      <c r="Q71" s="20">
        <f>IF(B71="","",(ISNUMBER(C71)*ISNUMBER(E71)*(C71&lt;E71))+(ISNUMBER(F71)*ISNUMBER(H71)*(F71&lt;H71))+(ISNUMBER(L71)*ISNUMBER(N71)*(L71&lt;N71)))</f>
        <v>0</v>
      </c>
      <c r="R71" s="21">
        <f>IF(B71="","",O71*3+P71)</f>
        <v>0</v>
      </c>
      <c r="S71" s="22">
        <f>IF(B71="","",IF(ISNUMBER(C71)*ISNUMBER(E71),C71,0)+IF(ISNUMBER(F71)*ISNUMBER(H71),F71,0)+IF(ISNUMBER(L71)*ISNUMBER(N71),L71,0))</f>
        <v>0</v>
      </c>
      <c r="T71" s="19">
        <f>IF(B71="","",IF(ISNUMBER(C71)*ISNUMBER(E71),E71,0)+IF(ISNUMBER(F71)*ISNUMBER(H71),H71,0)+IF(ISNUMBER(L71)*ISNUMBER(N71),N71,0))</f>
        <v>0</v>
      </c>
      <c r="U71" s="19">
        <f>IF(B71="","",S71-T71)</f>
        <v>0</v>
      </c>
      <c r="V71" s="54">
        <f>IF(B71="","",(B69&lt;&gt;"")*((R69&gt;R71)*1+(R69=R71)*(U69&gt;U71)*1+(R69=R71)*(U69=U71)*(S69&gt;S71)*1)+(B70&lt;&gt;"")*((R70&gt;R71)*1+(R70=R71)*(U70&gt;U71)*1+(R70=R71)*(U70=U71)*(S70&gt;S71)*1)+(B72&lt;&gt;"")*((R72&gt;R71)*1+(R72=R71)*(U72&gt;U71)*1+(R72=R71)*(U72=U71)*(S72&gt;S71)*1)+1)</f>
        <v>1</v>
      </c>
    </row>
    <row r="72" spans="1:22" ht="21.75" customHeight="1">
      <c r="A72" s="11"/>
      <c r="B72" s="16" t="str">
        <f>IF(date!B49="","",date!B49)</f>
        <v>チームL-4</v>
      </c>
      <c r="C72" s="23" t="str">
        <f>IF(N69="","",N69)</f>
        <v/>
      </c>
      <c r="D72" s="18" t="s">
        <v>70</v>
      </c>
      <c r="E72" s="23" t="str">
        <f>IF(L69="","",L69)</f>
        <v/>
      </c>
      <c r="F72" s="23" t="str">
        <f>IF(N70="","",N70)</f>
        <v/>
      </c>
      <c r="G72" s="18" t="s">
        <v>70</v>
      </c>
      <c r="H72" s="23" t="str">
        <f>IF(L70="","",L70)</f>
        <v/>
      </c>
      <c r="I72" s="23" t="str">
        <f>IF(N71="","",N71)</f>
        <v/>
      </c>
      <c r="J72" s="18" t="s">
        <v>70</v>
      </c>
      <c r="K72" s="23" t="str">
        <f>IF(L71="","",L71)</f>
        <v/>
      </c>
      <c r="L72" s="77"/>
      <c r="M72" s="77"/>
      <c r="N72" s="77"/>
      <c r="O72" s="19">
        <f>IF(B72="","",(ISNUMBER(C72)*ISNUMBER(E72)*(C72&gt;E72))+(ISNUMBER(F72)*ISNUMBER(H72)*(F72&gt;H72))+(ISNUMBER(I72)*ISNUMBER(K72)*(I72&gt;K72)))</f>
        <v>0</v>
      </c>
      <c r="P72" s="19">
        <f>IF(B72="","",(ISNUMBER(C72)*ISNUMBER(E72)*(C72=E72))+(ISNUMBER(F72)*ISNUMBER(H72)*(F72=H72))+(ISNUMBER(I72)*ISNUMBER(K72)*(I72=K72)))</f>
        <v>0</v>
      </c>
      <c r="Q72" s="20">
        <f>IF(B72="","",(ISNUMBER(C72)*ISNUMBER(E72)*(C72&lt;E72))+(ISNUMBER(F72)*ISNUMBER(H72)*(F72&lt;H72))+(ISNUMBER(I72)*ISNUMBER(K72)*(I72&lt;K72)))</f>
        <v>0</v>
      </c>
      <c r="R72" s="24">
        <f>IF(B72="","",O72*3+P72)</f>
        <v>0</v>
      </c>
      <c r="S72" s="22">
        <f>IF(B72="","",IF(ISNUMBER(C72)*ISNUMBER(E72),C72,0)+IF(ISNUMBER(F72)*ISNUMBER(H72),F72,0)+IF(ISNUMBER(I72)*ISNUMBER(K72),I72,0))</f>
        <v>0</v>
      </c>
      <c r="T72" s="19">
        <f>IF(B72="","",IF(ISNUMBER(C72)*ISNUMBER(E72),E72,0)+IF(ISNUMBER(F72)*ISNUMBER(H72),H72,0)+IF(ISNUMBER(I72)*ISNUMBER(K72),K72,0))</f>
        <v>0</v>
      </c>
      <c r="U72" s="19">
        <f>IF(B72="","",S72-T72)</f>
        <v>0</v>
      </c>
      <c r="V72" s="55">
        <f>IF(B72="","",(B69&lt;&gt;"")*((R69&gt;R72)*1+(R69=R72)*(U69&gt;U72)*1+(R69=R72)*(U69=U72)*(S69&gt;S72)*1)+(B70&lt;&gt;"")*((R70&gt;R72)*1+(R70=R72)*(U70&gt;U72)*1+(R70=R72)*(U70=U72)*(S70&gt;S72)*1)+(B71&lt;&gt;"")*((R71&gt;R72)*1+(R71=R72)*(U71&gt;U72)*1+(R71=R72)*(U71=U72)*(S71&gt;S72)*1)+1)</f>
        <v>1</v>
      </c>
    </row>
    <row r="73" spans="1:22" ht="22.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56"/>
    </row>
    <row r="74" spans="1:22" ht="21.75" customHeight="1">
      <c r="A74" s="11"/>
      <c r="B74" s="59" t="s">
        <v>80</v>
      </c>
      <c r="C74" s="78" t="str">
        <f>B75</f>
        <v>チームM-1</v>
      </c>
      <c r="D74" s="78"/>
      <c r="E74" s="78"/>
      <c r="F74" s="78" t="str">
        <f>B76</f>
        <v>チームM-2</v>
      </c>
      <c r="G74" s="78"/>
      <c r="H74" s="78"/>
      <c r="I74" s="78" t="str">
        <f>B77</f>
        <v>チームM-3</v>
      </c>
      <c r="J74" s="78"/>
      <c r="K74" s="78"/>
      <c r="L74" s="78" t="str">
        <f>B78</f>
        <v>チームM-4</v>
      </c>
      <c r="M74" s="78"/>
      <c r="N74" s="78"/>
      <c r="O74" s="1" t="s">
        <v>3</v>
      </c>
      <c r="P74" s="1" t="s">
        <v>4</v>
      </c>
      <c r="Q74" s="13" t="s">
        <v>5</v>
      </c>
      <c r="R74" s="14" t="s">
        <v>6</v>
      </c>
      <c r="S74" s="15" t="s">
        <v>7</v>
      </c>
      <c r="T74" s="1" t="s">
        <v>8</v>
      </c>
      <c r="U74" s="1" t="s">
        <v>9</v>
      </c>
      <c r="V74" s="57" t="s">
        <v>69</v>
      </c>
    </row>
    <row r="75" spans="1:22" ht="21.75" customHeight="1">
      <c r="A75" s="11"/>
      <c r="B75" s="16" t="str">
        <f>IF(date!B50="","",date!B50)</f>
        <v>チームM-1</v>
      </c>
      <c r="C75" s="77"/>
      <c r="D75" s="77"/>
      <c r="E75" s="77"/>
      <c r="F75" s="17"/>
      <c r="G75" s="18" t="s">
        <v>70</v>
      </c>
      <c r="H75" s="17"/>
      <c r="I75" s="17"/>
      <c r="J75" s="18" t="s">
        <v>70</v>
      </c>
      <c r="K75" s="17"/>
      <c r="L75" s="17"/>
      <c r="M75" s="18" t="s">
        <v>70</v>
      </c>
      <c r="N75" s="17"/>
      <c r="O75" s="19">
        <f>IF(B75="","",(ISNUMBER(F75)*ISNUMBER(H75)*(F75&gt;H75))+(ISNUMBER(I75)*ISNUMBER(K75)*(I75&gt;K75))+(ISNUMBER(L75)*ISNUMBER(N75)*(L75&gt;N75)))</f>
        <v>0</v>
      </c>
      <c r="P75" s="19">
        <f>IF(B75="","",(ISNUMBER(F75)*ISNUMBER(H75)*(F75=H75))+(ISNUMBER(I75)*ISNUMBER(K75)*(I75=K75))+(ISNUMBER(L75)*ISNUMBER(N75)*(L75=N75)))</f>
        <v>0</v>
      </c>
      <c r="Q75" s="20">
        <f>IF(B75="","",(ISNUMBER(F75)*ISNUMBER(H75)*(F75&lt;H75))+(ISNUMBER(I75)*ISNUMBER(K75)*(I75&lt;K75))+(ISNUMBER(L75)*ISNUMBER(N75)*(L75&lt;N75)))</f>
        <v>0</v>
      </c>
      <c r="R75" s="21">
        <f>IF(B75="","",O75*3+P75)</f>
        <v>0</v>
      </c>
      <c r="S75" s="22">
        <f>IF(B75="","",IF(ISNUMBER(F75)*ISNUMBER(H75),F75,0)+IF(ISNUMBER(I75)*ISNUMBER(K75),I75,0)+IF(ISNUMBER(L75)*ISNUMBER(N75),L75,0))</f>
        <v>0</v>
      </c>
      <c r="T75" s="19">
        <f>IF(B75="","",IF(ISNUMBER(F75)*ISNUMBER(H75),H75,0)+IF(ISNUMBER(I75)*ISNUMBER(K75),K75,0)+IF(ISNUMBER(L75)*ISNUMBER(N75),N75,0))</f>
        <v>0</v>
      </c>
      <c r="U75" s="19">
        <f>IF(B75="","",S75-T75)</f>
        <v>0</v>
      </c>
      <c r="V75" s="54">
        <f>IF(B75="","",(B76&lt;&gt;"")*((R76&gt;R75)*1+(R76=R75)*(U76&gt;U75)*1+(R76=R75)*(U76=U75)*(S76&gt;S75)*1)+(B77&lt;&gt;"")*((R77&gt;R75)*1+(R77=R75)*(U77&gt;U75)*1+(R77=R75)*(U77=U75)*(S77&gt;S75)*1)+(B78&lt;&gt;"")*((R78&gt;R75)*1+(R78=R75)*(U78&gt;U75)*1+(R78=R75)*(U78=U75)*(S78&gt;S75)*1)+1)</f>
        <v>1</v>
      </c>
    </row>
    <row r="76" spans="1:22" ht="21.75" customHeight="1">
      <c r="A76" s="11"/>
      <c r="B76" s="16" t="str">
        <f>IF(date!B51="","",date!B51)</f>
        <v>チームM-2</v>
      </c>
      <c r="C76" s="23" t="str">
        <f>IF(H75="","",H75)</f>
        <v/>
      </c>
      <c r="D76" s="18" t="s">
        <v>70</v>
      </c>
      <c r="E76" s="23" t="str">
        <f>IF(F75="","",F75)</f>
        <v/>
      </c>
      <c r="F76" s="77"/>
      <c r="G76" s="77"/>
      <c r="H76" s="77"/>
      <c r="I76" s="17"/>
      <c r="J76" s="18" t="s">
        <v>70</v>
      </c>
      <c r="K76" s="17"/>
      <c r="L76" s="17"/>
      <c r="M76" s="18" t="s">
        <v>70</v>
      </c>
      <c r="N76" s="17"/>
      <c r="O76" s="19">
        <f>IF(B76="","",(ISNUMBER(C76)*ISNUMBER(E76)*(C76&gt;E76))+(ISNUMBER(I76)*ISNUMBER(K76)*(I76&gt;K76))+(ISNUMBER(L76)*ISNUMBER(N76)*(L76&gt;N76)))</f>
        <v>0</v>
      </c>
      <c r="P76" s="19">
        <f>IF(B76="","",(ISNUMBER(C76)*ISNUMBER(E76)*(C76=E76))+(ISNUMBER(I76)*ISNUMBER(K76)*(I76=K76))+(ISNUMBER(L76)*ISNUMBER(N76)*(L76=N76)))</f>
        <v>0</v>
      </c>
      <c r="Q76" s="20">
        <f>IF(B76="","",(ISNUMBER(C76)*ISNUMBER(E76)*(C76&lt;E76))+(ISNUMBER(I76)*ISNUMBER(K76)*(I76&lt;K76))+(ISNUMBER(L76)*ISNUMBER(N76)*(L76&lt;N76)))</f>
        <v>0</v>
      </c>
      <c r="R76" s="21">
        <f>IF(B76="","",O76*3+P76)</f>
        <v>0</v>
      </c>
      <c r="S76" s="22">
        <f>IF(B76="","",IF(ISNUMBER(C76)*ISNUMBER(E76),C76,0)+IF(ISNUMBER(I76)*ISNUMBER(K76),I76,0)+IF(ISNUMBER(L76)*ISNUMBER(N76),L76,0))</f>
        <v>0</v>
      </c>
      <c r="T76" s="19">
        <f>IF(B76="","",IF(ISNUMBER(C76)*ISNUMBER(E76),E76,0)+IF(ISNUMBER(I76)*ISNUMBER(K76),K76,0)+IF(ISNUMBER(L76)*ISNUMBER(N76),N76,0))</f>
        <v>0</v>
      </c>
      <c r="U76" s="19">
        <f>IF(B76="","",S76-T76)</f>
        <v>0</v>
      </c>
      <c r="V76" s="54">
        <f>IF(B76="","",(B75&lt;&gt;"")*((R75&gt;R76)*1+(R75=R76)*(U75&gt;U76)*1+(R75=R76)*(U75=U76)*(S75&gt;S76)*1)+(B77&lt;&gt;"")*((R77&gt;R76)*1+(R77=R76)*(U77&gt;U76)*1+(R77=R76)*(U77=U76)*(S77&gt;S76)*1)+(B78&lt;&gt;"")*((R78&gt;R76)*1+(R78=R76)*(U78&gt;U76)*1+(R78=R76)*(U78=U76)*(S78&gt;S76)*1)+1)</f>
        <v>1</v>
      </c>
    </row>
    <row r="77" spans="1:22" ht="21.75" customHeight="1">
      <c r="A77" s="11"/>
      <c r="B77" s="16" t="str">
        <f>IF(date!B52="","",date!B52)</f>
        <v>チームM-3</v>
      </c>
      <c r="C77" s="23" t="str">
        <f>IF(K75="","",K75)</f>
        <v/>
      </c>
      <c r="D77" s="18" t="s">
        <v>70</v>
      </c>
      <c r="E77" s="23" t="str">
        <f>IF(I75="","",I75)</f>
        <v/>
      </c>
      <c r="F77" s="23" t="str">
        <f>IF(K76="","",K76)</f>
        <v/>
      </c>
      <c r="G77" s="18" t="s">
        <v>70</v>
      </c>
      <c r="H77" s="23" t="str">
        <f>IF(I76="","",I76)</f>
        <v/>
      </c>
      <c r="I77" s="77"/>
      <c r="J77" s="77"/>
      <c r="K77" s="77"/>
      <c r="L77" s="17"/>
      <c r="M77" s="18" t="s">
        <v>70</v>
      </c>
      <c r="N77" s="17"/>
      <c r="O77" s="19">
        <f>IF(B77="","",(ISNUMBER(C77)*ISNUMBER(E77)*(C77&gt;E77))+(ISNUMBER(F77)*ISNUMBER(H77)*(F77&gt;H77))+(ISNUMBER(L77)*ISNUMBER(N77)*(L77&gt;N77)))</f>
        <v>0</v>
      </c>
      <c r="P77" s="19">
        <f>IF(B77="","",(ISNUMBER(C77)*ISNUMBER(E77)*(C77=E77))+(ISNUMBER(F77)*ISNUMBER(H77)*(F77=H77))+(ISNUMBER(L77)*ISNUMBER(N77)*(L77=N77)))</f>
        <v>0</v>
      </c>
      <c r="Q77" s="20">
        <f>IF(B77="","",(ISNUMBER(C77)*ISNUMBER(E77)*(C77&lt;E77))+(ISNUMBER(F77)*ISNUMBER(H77)*(F77&lt;H77))+(ISNUMBER(L77)*ISNUMBER(N77)*(L77&lt;N77)))</f>
        <v>0</v>
      </c>
      <c r="R77" s="21">
        <f>IF(B77="","",O77*3+P77)</f>
        <v>0</v>
      </c>
      <c r="S77" s="22">
        <f>IF(B77="","",IF(ISNUMBER(C77)*ISNUMBER(E77),C77,0)+IF(ISNUMBER(F77)*ISNUMBER(H77),F77,0)+IF(ISNUMBER(L77)*ISNUMBER(N77),L77,0))</f>
        <v>0</v>
      </c>
      <c r="T77" s="19">
        <f>IF(B77="","",IF(ISNUMBER(C77)*ISNUMBER(E77),E77,0)+IF(ISNUMBER(F77)*ISNUMBER(H77),H77,0)+IF(ISNUMBER(L77)*ISNUMBER(N77),N77,0))</f>
        <v>0</v>
      </c>
      <c r="U77" s="19">
        <f>IF(B77="","",S77-T77)</f>
        <v>0</v>
      </c>
      <c r="V77" s="54">
        <f>IF(B77="","",(B75&lt;&gt;"")*((R75&gt;R77)*1+(R75=R77)*(U75&gt;U77)*1+(R75=R77)*(U75=U77)*(S75&gt;S77)*1)+(B76&lt;&gt;"")*((R76&gt;R77)*1+(R76=R77)*(U76&gt;U77)*1+(R76=R77)*(U76=U77)*(S76&gt;S77)*1)+(B78&lt;&gt;"")*((R78&gt;R77)*1+(R78=R77)*(U78&gt;U77)*1+(R78=R77)*(U78=U77)*(S78&gt;S77)*1)+1)</f>
        <v>1</v>
      </c>
    </row>
    <row r="78" spans="1:22" ht="21.75" customHeight="1">
      <c r="A78" s="11"/>
      <c r="B78" s="16" t="str">
        <f>IF(date!B53="","",date!B53)</f>
        <v>チームM-4</v>
      </c>
      <c r="C78" s="23" t="str">
        <f>IF(N75="","",N75)</f>
        <v/>
      </c>
      <c r="D78" s="18" t="s">
        <v>70</v>
      </c>
      <c r="E78" s="23" t="str">
        <f>IF(L75="","",L75)</f>
        <v/>
      </c>
      <c r="F78" s="23" t="str">
        <f>IF(N76="","",N76)</f>
        <v/>
      </c>
      <c r="G78" s="18" t="s">
        <v>70</v>
      </c>
      <c r="H78" s="23" t="str">
        <f>IF(L76="","",L76)</f>
        <v/>
      </c>
      <c r="I78" s="23" t="str">
        <f>IF(N77="","",N77)</f>
        <v/>
      </c>
      <c r="J78" s="18" t="s">
        <v>70</v>
      </c>
      <c r="K78" s="23" t="str">
        <f>IF(L77="","",L77)</f>
        <v/>
      </c>
      <c r="L78" s="77"/>
      <c r="M78" s="77"/>
      <c r="N78" s="77"/>
      <c r="O78" s="19">
        <f>IF(B78="","",(ISNUMBER(C78)*ISNUMBER(E78)*(C78&gt;E78))+(ISNUMBER(F78)*ISNUMBER(H78)*(F78&gt;H78))+(ISNUMBER(I78)*ISNUMBER(K78)*(I78&gt;K78)))</f>
        <v>0</v>
      </c>
      <c r="P78" s="19">
        <f>IF(B78="","",(ISNUMBER(C78)*ISNUMBER(E78)*(C78=E78))+(ISNUMBER(F78)*ISNUMBER(H78)*(F78=H78))+(ISNUMBER(I78)*ISNUMBER(K78)*(I78=K78)))</f>
        <v>0</v>
      </c>
      <c r="Q78" s="20">
        <f>IF(B78="","",(ISNUMBER(C78)*ISNUMBER(E78)*(C78&lt;E78))+(ISNUMBER(F78)*ISNUMBER(H78)*(F78&lt;H78))+(ISNUMBER(I78)*ISNUMBER(K78)*(I78&lt;K78)))</f>
        <v>0</v>
      </c>
      <c r="R78" s="24">
        <f>IF(B78="","",O78*3+P78)</f>
        <v>0</v>
      </c>
      <c r="S78" s="22">
        <f>IF(B78="","",IF(ISNUMBER(C78)*ISNUMBER(E78),C78,0)+IF(ISNUMBER(F78)*ISNUMBER(H78),F78,0)+IF(ISNUMBER(I78)*ISNUMBER(K78),I78,0))</f>
        <v>0</v>
      </c>
      <c r="T78" s="19">
        <f>IF(B78="","",IF(ISNUMBER(C78)*ISNUMBER(E78),E78,0)+IF(ISNUMBER(F78)*ISNUMBER(H78),H78,0)+IF(ISNUMBER(I78)*ISNUMBER(K78),K78,0))</f>
        <v>0</v>
      </c>
      <c r="U78" s="19">
        <f>IF(B78="","",S78-T78)</f>
        <v>0</v>
      </c>
      <c r="V78" s="55">
        <f>IF(B78="","",(B75&lt;&gt;"")*((R75&gt;R78)*1+(R75=R78)*(U75&gt;U78)*1+(R75=R78)*(U75=U78)*(S75&gt;S78)*1)+(B76&lt;&gt;"")*((R76&gt;R78)*1+(R76=R78)*(U76&gt;U78)*1+(R76=R78)*(U76=U78)*(S76&gt;S78)*1)+(B77&lt;&gt;"")*((R77&gt;R78)*1+(R77=R78)*(U77&gt;U78)*1+(R77=R78)*(U77=U78)*(S77&gt;S78)*1)+1)</f>
        <v>1</v>
      </c>
    </row>
    <row r="79" spans="1:22" ht="22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56"/>
    </row>
    <row r="80" spans="1:22" ht="21.75" customHeight="1">
      <c r="A80" s="11"/>
      <c r="B80" s="59" t="s">
        <v>81</v>
      </c>
      <c r="C80" s="78" t="str">
        <f>B81</f>
        <v>チームN-1</v>
      </c>
      <c r="D80" s="78"/>
      <c r="E80" s="78"/>
      <c r="F80" s="78" t="str">
        <f>B82</f>
        <v>チームN-2</v>
      </c>
      <c r="G80" s="78"/>
      <c r="H80" s="78"/>
      <c r="I80" s="78" t="str">
        <f>B83</f>
        <v>チームN-3</v>
      </c>
      <c r="J80" s="78"/>
      <c r="K80" s="78"/>
      <c r="L80" s="78" t="str">
        <f>B84</f>
        <v>チームN-4</v>
      </c>
      <c r="M80" s="78"/>
      <c r="N80" s="78"/>
      <c r="O80" s="1" t="s">
        <v>3</v>
      </c>
      <c r="P80" s="1" t="s">
        <v>4</v>
      </c>
      <c r="Q80" s="13" t="s">
        <v>5</v>
      </c>
      <c r="R80" s="14" t="s">
        <v>6</v>
      </c>
      <c r="S80" s="15" t="s">
        <v>7</v>
      </c>
      <c r="T80" s="1" t="s">
        <v>8</v>
      </c>
      <c r="U80" s="1" t="s">
        <v>9</v>
      </c>
      <c r="V80" s="57" t="s">
        <v>69</v>
      </c>
    </row>
    <row r="81" spans="1:22" ht="21.75" customHeight="1">
      <c r="A81" s="11"/>
      <c r="B81" s="16" t="str">
        <f>IF(date!B54="","",date!B54)</f>
        <v>チームN-1</v>
      </c>
      <c r="C81" s="77"/>
      <c r="D81" s="77"/>
      <c r="E81" s="77"/>
      <c r="F81" s="17"/>
      <c r="G81" s="18" t="s">
        <v>70</v>
      </c>
      <c r="H81" s="17"/>
      <c r="I81" s="17"/>
      <c r="J81" s="18" t="s">
        <v>70</v>
      </c>
      <c r="K81" s="17"/>
      <c r="L81" s="17"/>
      <c r="M81" s="18" t="s">
        <v>70</v>
      </c>
      <c r="N81" s="17"/>
      <c r="O81" s="19">
        <f>IF(B81="","",(ISNUMBER(F81)*ISNUMBER(H81)*(F81&gt;H81))+(ISNUMBER(I81)*ISNUMBER(K81)*(I81&gt;K81))+(ISNUMBER(L81)*ISNUMBER(N81)*(L81&gt;N81)))</f>
        <v>0</v>
      </c>
      <c r="P81" s="19">
        <f>IF(B81="","",(ISNUMBER(F81)*ISNUMBER(H81)*(F81=H81))+(ISNUMBER(I81)*ISNUMBER(K81)*(I81=K81))+(ISNUMBER(L81)*ISNUMBER(N81)*(L81=N81)))</f>
        <v>0</v>
      </c>
      <c r="Q81" s="20">
        <f>IF(B81="","",(ISNUMBER(F81)*ISNUMBER(H81)*(F81&lt;H81))+(ISNUMBER(I81)*ISNUMBER(K81)*(I81&lt;K81))+(ISNUMBER(L81)*ISNUMBER(N81)*(L81&lt;N81)))</f>
        <v>0</v>
      </c>
      <c r="R81" s="21">
        <f>IF(B81="","",O81*3+P81)</f>
        <v>0</v>
      </c>
      <c r="S81" s="22">
        <f>IF(B81="","",IF(ISNUMBER(F81)*ISNUMBER(H81),F81,0)+IF(ISNUMBER(I81)*ISNUMBER(K81),I81,0)+IF(ISNUMBER(L81)*ISNUMBER(N81),L81,0))</f>
        <v>0</v>
      </c>
      <c r="T81" s="19">
        <f>IF(B81="","",IF(ISNUMBER(F81)*ISNUMBER(H81),H81,0)+IF(ISNUMBER(I81)*ISNUMBER(K81),K81,0)+IF(ISNUMBER(L81)*ISNUMBER(N81),N81,0))</f>
        <v>0</v>
      </c>
      <c r="U81" s="19">
        <f>IF(B81="","",S81-T81)</f>
        <v>0</v>
      </c>
      <c r="V81" s="54">
        <f>IF(B81="","",(B82&lt;&gt;"")*((R82&gt;R81)*1+(R82=R81)*(U82&gt;U81)*1+(R82=R81)*(U82=U81)*(S82&gt;S81)*1)+(B83&lt;&gt;"")*((R83&gt;R81)*1+(R83=R81)*(U83&gt;U81)*1+(R83=R81)*(U83=U81)*(S83&gt;S81)*1)+(B84&lt;&gt;"")*((R84&gt;R81)*1+(R84=R81)*(U84&gt;U81)*1+(R84=R81)*(U84=U81)*(S84&gt;S81)*1)+1)</f>
        <v>1</v>
      </c>
    </row>
    <row r="82" spans="1:22" ht="21.75" customHeight="1">
      <c r="A82" s="11"/>
      <c r="B82" s="16" t="str">
        <f>IF(date!B55="","",date!B55)</f>
        <v>チームN-2</v>
      </c>
      <c r="C82" s="23" t="str">
        <f>IF(H81="","",H81)</f>
        <v/>
      </c>
      <c r="D82" s="18" t="s">
        <v>70</v>
      </c>
      <c r="E82" s="23" t="str">
        <f>IF(F81="","",F81)</f>
        <v/>
      </c>
      <c r="F82" s="77"/>
      <c r="G82" s="77"/>
      <c r="H82" s="77"/>
      <c r="I82" s="17"/>
      <c r="J82" s="18" t="s">
        <v>70</v>
      </c>
      <c r="K82" s="17"/>
      <c r="L82" s="17"/>
      <c r="M82" s="18" t="s">
        <v>70</v>
      </c>
      <c r="N82" s="17"/>
      <c r="O82" s="19">
        <f>IF(B82="","",(ISNUMBER(C82)*ISNUMBER(E82)*(C82&gt;E82))+(ISNUMBER(I82)*ISNUMBER(K82)*(I82&gt;K82))+(ISNUMBER(L82)*ISNUMBER(N82)*(L82&gt;N82)))</f>
        <v>0</v>
      </c>
      <c r="P82" s="19">
        <f>IF(B82="","",(ISNUMBER(C82)*ISNUMBER(E82)*(C82=E82))+(ISNUMBER(I82)*ISNUMBER(K82)*(I82=K82))+(ISNUMBER(L82)*ISNUMBER(N82)*(L82=N82)))</f>
        <v>0</v>
      </c>
      <c r="Q82" s="20">
        <f>IF(B82="","",(ISNUMBER(C82)*ISNUMBER(E82)*(C82&lt;E82))+(ISNUMBER(I82)*ISNUMBER(K82)*(I82&lt;K82))+(ISNUMBER(L82)*ISNUMBER(N82)*(L82&lt;N82)))</f>
        <v>0</v>
      </c>
      <c r="R82" s="21">
        <f>IF(B82="","",O82*3+P82)</f>
        <v>0</v>
      </c>
      <c r="S82" s="22">
        <f>IF(B82="","",IF(ISNUMBER(C82)*ISNUMBER(E82),C82,0)+IF(ISNUMBER(I82)*ISNUMBER(K82),I82,0)+IF(ISNUMBER(L82)*ISNUMBER(N82),L82,0))</f>
        <v>0</v>
      </c>
      <c r="T82" s="19">
        <f>IF(B82="","",IF(ISNUMBER(C82)*ISNUMBER(E82),E82,0)+IF(ISNUMBER(I82)*ISNUMBER(K82),K82,0)+IF(ISNUMBER(L82)*ISNUMBER(N82),N82,0))</f>
        <v>0</v>
      </c>
      <c r="U82" s="19">
        <f>IF(B82="","",S82-T82)</f>
        <v>0</v>
      </c>
      <c r="V82" s="54">
        <f>IF(B82="","",(B81&lt;&gt;"")*((R81&gt;R82)*1+(R81=R82)*(U81&gt;U82)*1+(R81=R82)*(U81=U82)*(S81&gt;S82)*1)+(B83&lt;&gt;"")*((R83&gt;R82)*1+(R83=R82)*(U83&gt;U82)*1+(R83=R82)*(U83=U82)*(S83&gt;S82)*1)+(B84&lt;&gt;"")*((R84&gt;R82)*1+(R84=R82)*(U84&gt;U82)*1+(R84=R82)*(U84=U82)*(S84&gt;S82)*1)+1)</f>
        <v>1</v>
      </c>
    </row>
    <row r="83" spans="1:22" ht="21.75" customHeight="1">
      <c r="A83" s="11"/>
      <c r="B83" s="16" t="str">
        <f>IF(date!B56="","",date!B56)</f>
        <v>チームN-3</v>
      </c>
      <c r="C83" s="23" t="str">
        <f>IF(K81="","",K81)</f>
        <v/>
      </c>
      <c r="D83" s="18" t="s">
        <v>70</v>
      </c>
      <c r="E83" s="23" t="str">
        <f>IF(I81="","",I81)</f>
        <v/>
      </c>
      <c r="F83" s="23" t="str">
        <f>IF(K82="","",K82)</f>
        <v/>
      </c>
      <c r="G83" s="18" t="s">
        <v>70</v>
      </c>
      <c r="H83" s="23" t="str">
        <f>IF(I82="","",I82)</f>
        <v/>
      </c>
      <c r="I83" s="77"/>
      <c r="J83" s="77"/>
      <c r="K83" s="77"/>
      <c r="L83" s="17"/>
      <c r="M83" s="18" t="s">
        <v>70</v>
      </c>
      <c r="N83" s="17"/>
      <c r="O83" s="19">
        <f>IF(B83="","",(ISNUMBER(C83)*ISNUMBER(E83)*(C83&gt;E83))+(ISNUMBER(F83)*ISNUMBER(H83)*(F83&gt;H83))+(ISNUMBER(L83)*ISNUMBER(N83)*(L83&gt;N83)))</f>
        <v>0</v>
      </c>
      <c r="P83" s="19">
        <f>IF(B83="","",(ISNUMBER(C83)*ISNUMBER(E83)*(C83=E83))+(ISNUMBER(F83)*ISNUMBER(H83)*(F83=H83))+(ISNUMBER(L83)*ISNUMBER(N83)*(L83=N83)))</f>
        <v>0</v>
      </c>
      <c r="Q83" s="20">
        <f>IF(B83="","",(ISNUMBER(C83)*ISNUMBER(E83)*(C83&lt;E83))+(ISNUMBER(F83)*ISNUMBER(H83)*(F83&lt;H83))+(ISNUMBER(L83)*ISNUMBER(N83)*(L83&lt;N83)))</f>
        <v>0</v>
      </c>
      <c r="R83" s="21">
        <f>IF(B83="","",O83*3+P83)</f>
        <v>0</v>
      </c>
      <c r="S83" s="22">
        <f>IF(B83="","",IF(ISNUMBER(C83)*ISNUMBER(E83),C83,0)+IF(ISNUMBER(F83)*ISNUMBER(H83),F83,0)+IF(ISNUMBER(L83)*ISNUMBER(N83),L83,0))</f>
        <v>0</v>
      </c>
      <c r="T83" s="19">
        <f>IF(B83="","",IF(ISNUMBER(C83)*ISNUMBER(E83),E83,0)+IF(ISNUMBER(F83)*ISNUMBER(H83),H83,0)+IF(ISNUMBER(L83)*ISNUMBER(N83),N83,0))</f>
        <v>0</v>
      </c>
      <c r="U83" s="19">
        <f>IF(B83="","",S83-T83)</f>
        <v>0</v>
      </c>
      <c r="V83" s="54">
        <f>IF(B83="","",(B81&lt;&gt;"")*((R81&gt;R83)*1+(R81=R83)*(U81&gt;U83)*1+(R81=R83)*(U81=U83)*(S81&gt;S83)*1)+(B82&lt;&gt;"")*((R82&gt;R83)*1+(R82=R83)*(U82&gt;U83)*1+(R82=R83)*(U82=U83)*(S82&gt;S83)*1)+(B84&lt;&gt;"")*((R84&gt;R83)*1+(R84=R83)*(U84&gt;U83)*1+(R84=R83)*(U84=U83)*(S84&gt;S83)*1)+1)</f>
        <v>1</v>
      </c>
    </row>
    <row r="84" spans="1:22" ht="21.75" customHeight="1">
      <c r="A84" s="11"/>
      <c r="B84" s="16" t="str">
        <f>IF(date!B57="","",date!B57)</f>
        <v>チームN-4</v>
      </c>
      <c r="C84" s="23" t="str">
        <f>IF(N81="","",N81)</f>
        <v/>
      </c>
      <c r="D84" s="18" t="s">
        <v>70</v>
      </c>
      <c r="E84" s="23" t="str">
        <f>IF(L81="","",L81)</f>
        <v/>
      </c>
      <c r="F84" s="23" t="str">
        <f>IF(N82="","",N82)</f>
        <v/>
      </c>
      <c r="G84" s="18" t="s">
        <v>70</v>
      </c>
      <c r="H84" s="23" t="str">
        <f>IF(L82="","",L82)</f>
        <v/>
      </c>
      <c r="I84" s="23" t="str">
        <f>IF(N83="","",N83)</f>
        <v/>
      </c>
      <c r="J84" s="18" t="s">
        <v>70</v>
      </c>
      <c r="K84" s="23" t="str">
        <f>IF(L83="","",L83)</f>
        <v/>
      </c>
      <c r="L84" s="77"/>
      <c r="M84" s="77"/>
      <c r="N84" s="77"/>
      <c r="O84" s="19">
        <f>IF(B84="","",(ISNUMBER(C84)*ISNUMBER(E84)*(C84&gt;E84))+(ISNUMBER(F84)*ISNUMBER(H84)*(F84&gt;H84))+(ISNUMBER(I84)*ISNUMBER(K84)*(I84&gt;K84)))</f>
        <v>0</v>
      </c>
      <c r="P84" s="19">
        <f>IF(B84="","",(ISNUMBER(C84)*ISNUMBER(E84)*(C84=E84))+(ISNUMBER(F84)*ISNUMBER(H84)*(F84=H84))+(ISNUMBER(I84)*ISNUMBER(K84)*(I84=K84)))</f>
        <v>0</v>
      </c>
      <c r="Q84" s="20">
        <f>IF(B84="","",(ISNUMBER(C84)*ISNUMBER(E84)*(C84&lt;E84))+(ISNUMBER(F84)*ISNUMBER(H84)*(F84&lt;H84))+(ISNUMBER(I84)*ISNUMBER(K84)*(I84&lt;K84)))</f>
        <v>0</v>
      </c>
      <c r="R84" s="24">
        <f>IF(B84="","",O84*3+P84)</f>
        <v>0</v>
      </c>
      <c r="S84" s="22">
        <f>IF(B84="","",IF(ISNUMBER(C84)*ISNUMBER(E84),C84,0)+IF(ISNUMBER(F84)*ISNUMBER(H84),F84,0)+IF(ISNUMBER(I84)*ISNUMBER(K84),I84,0))</f>
        <v>0</v>
      </c>
      <c r="T84" s="19">
        <f>IF(B84="","",IF(ISNUMBER(C84)*ISNUMBER(E84),E84,0)+IF(ISNUMBER(F84)*ISNUMBER(H84),H84,0)+IF(ISNUMBER(I84)*ISNUMBER(K84),K84,0))</f>
        <v>0</v>
      </c>
      <c r="U84" s="19">
        <f>IF(B84="","",S84-T84)</f>
        <v>0</v>
      </c>
      <c r="V84" s="55">
        <f>IF(B84="","",(B81&lt;&gt;"")*((R81&gt;R84)*1+(R81=R84)*(U81&gt;U84)*1+(R81=R84)*(U81=U84)*(S81&gt;S84)*1)+(B82&lt;&gt;"")*((R82&gt;R84)*1+(R82=R84)*(U82&gt;U84)*1+(R82=R84)*(U82=U84)*(S82&gt;S84)*1)+(B83&lt;&gt;"")*((R83&gt;R84)*1+(R83=R84)*(U83&gt;U84)*1+(R83=R84)*(U83=U84)*(S83&gt;S84)*1)+1)</f>
        <v>1</v>
      </c>
    </row>
    <row r="85" spans="1:22" ht="22.5" customHeight="1"/>
  </sheetData>
  <sheetProtection sheet="1" objects="1" scenarios="1"/>
  <mergeCells count="112">
    <mergeCell ref="C2:E2"/>
    <mergeCell ref="F2:H2"/>
    <mergeCell ref="I2:K2"/>
    <mergeCell ref="L2:N2"/>
    <mergeCell ref="C3:E3"/>
    <mergeCell ref="F4:H4"/>
    <mergeCell ref="I5:K5"/>
    <mergeCell ref="L6:N6"/>
    <mergeCell ref="C8:E8"/>
    <mergeCell ref="F8:H8"/>
    <mergeCell ref="I8:K8"/>
    <mergeCell ref="L8:N8"/>
    <mergeCell ref="C9:E9"/>
    <mergeCell ref="F10:H10"/>
    <mergeCell ref="I11:K11"/>
    <mergeCell ref="L12:N12"/>
    <mergeCell ref="C14:E14"/>
    <mergeCell ref="F14:H14"/>
    <mergeCell ref="I14:K14"/>
    <mergeCell ref="L14:N14"/>
    <mergeCell ref="C15:E15"/>
    <mergeCell ref="F16:H16"/>
    <mergeCell ref="I17:K17"/>
    <mergeCell ref="L18:N18"/>
    <mergeCell ref="C20:E20"/>
    <mergeCell ref="F20:H20"/>
    <mergeCell ref="I20:K20"/>
    <mergeCell ref="L20:N20"/>
    <mergeCell ref="C21:E21"/>
    <mergeCell ref="F22:H22"/>
    <mergeCell ref="I23:K23"/>
    <mergeCell ref="L24:N24"/>
    <mergeCell ref="C26:E26"/>
    <mergeCell ref="F26:H26"/>
    <mergeCell ref="I26:K26"/>
    <mergeCell ref="L26:N26"/>
    <mergeCell ref="C27:E27"/>
    <mergeCell ref="F28:H28"/>
    <mergeCell ref="I29:K29"/>
    <mergeCell ref="L30:N30"/>
    <mergeCell ref="C32:E32"/>
    <mergeCell ref="F32:H32"/>
    <mergeCell ref="I32:K32"/>
    <mergeCell ref="L32:N32"/>
    <mergeCell ref="C33:E33"/>
    <mergeCell ref="F34:H34"/>
    <mergeCell ref="I35:K35"/>
    <mergeCell ref="L36:N36"/>
    <mergeCell ref="C38:E38"/>
    <mergeCell ref="F38:H38"/>
    <mergeCell ref="I38:K38"/>
    <mergeCell ref="L38:N38"/>
    <mergeCell ref="C39:E39"/>
    <mergeCell ref="F40:H40"/>
    <mergeCell ref="I41:K41"/>
    <mergeCell ref="L42:N42"/>
    <mergeCell ref="C44:E44"/>
    <mergeCell ref="F44:H44"/>
    <mergeCell ref="I44:K44"/>
    <mergeCell ref="L44:N44"/>
    <mergeCell ref="C45:E45"/>
    <mergeCell ref="F46:H46"/>
    <mergeCell ref="I47:K47"/>
    <mergeCell ref="L48:N48"/>
    <mergeCell ref="C50:E50"/>
    <mergeCell ref="F50:H50"/>
    <mergeCell ref="I50:K50"/>
    <mergeCell ref="L50:N50"/>
    <mergeCell ref="C51:E51"/>
    <mergeCell ref="F52:H52"/>
    <mergeCell ref="I53:K53"/>
    <mergeCell ref="L54:N54"/>
    <mergeCell ref="C56:E56"/>
    <mergeCell ref="F56:H56"/>
    <mergeCell ref="I56:K56"/>
    <mergeCell ref="L56:N56"/>
    <mergeCell ref="C57:E57"/>
    <mergeCell ref="F58:H58"/>
    <mergeCell ref="I59:K59"/>
    <mergeCell ref="L60:N60"/>
    <mergeCell ref="C62:E62"/>
    <mergeCell ref="F62:H62"/>
    <mergeCell ref="I62:K62"/>
    <mergeCell ref="L62:N62"/>
    <mergeCell ref="C63:E63"/>
    <mergeCell ref="F64:H64"/>
    <mergeCell ref="I65:K65"/>
    <mergeCell ref="L66:N66"/>
    <mergeCell ref="C68:E68"/>
    <mergeCell ref="F68:H68"/>
    <mergeCell ref="I68:K68"/>
    <mergeCell ref="L68:N68"/>
    <mergeCell ref="C69:E69"/>
    <mergeCell ref="F70:H70"/>
    <mergeCell ref="I71:K71"/>
    <mergeCell ref="L72:N72"/>
    <mergeCell ref="C81:E81"/>
    <mergeCell ref="F82:H82"/>
    <mergeCell ref="I83:K83"/>
    <mergeCell ref="L84:N84"/>
    <mergeCell ref="C74:E74"/>
    <mergeCell ref="F74:H74"/>
    <mergeCell ref="I74:K74"/>
    <mergeCell ref="L74:N74"/>
    <mergeCell ref="C75:E75"/>
    <mergeCell ref="F76:H76"/>
    <mergeCell ref="I77:K77"/>
    <mergeCell ref="L78:N78"/>
    <mergeCell ref="C80:E80"/>
    <mergeCell ref="F80:H80"/>
    <mergeCell ref="I80:K80"/>
    <mergeCell ref="L80:N80"/>
  </mergeCells>
  <phoneticPr fontId="31"/>
  <conditionalFormatting sqref="B3:B6">
    <cfRule type="expression" dxfId="43" priority="5">
      <formula>$V3=1</formula>
    </cfRule>
  </conditionalFormatting>
  <conditionalFormatting sqref="B9:B12">
    <cfRule type="expression" dxfId="42" priority="8">
      <formula>$V9=1</formula>
    </cfRule>
  </conditionalFormatting>
  <conditionalFormatting sqref="B15:B18">
    <cfRule type="expression" dxfId="41" priority="11">
      <formula>$V15=1</formula>
    </cfRule>
  </conditionalFormatting>
  <conditionalFormatting sqref="B21:B24">
    <cfRule type="expression" dxfId="40" priority="14">
      <formula>$V21=1</formula>
    </cfRule>
  </conditionalFormatting>
  <conditionalFormatting sqref="B27:B30">
    <cfRule type="expression" dxfId="39" priority="17">
      <formula>$V27=1</formula>
    </cfRule>
  </conditionalFormatting>
  <conditionalFormatting sqref="B33:B36">
    <cfRule type="expression" dxfId="38" priority="20">
      <formula>$V33=1</formula>
    </cfRule>
  </conditionalFormatting>
  <conditionalFormatting sqref="B39:B42">
    <cfRule type="expression" dxfId="37" priority="23">
      <formula>$V39=1</formula>
    </cfRule>
  </conditionalFormatting>
  <conditionalFormatting sqref="B45:B48">
    <cfRule type="expression" dxfId="36" priority="26">
      <formula>$V45=1</formula>
    </cfRule>
  </conditionalFormatting>
  <conditionalFormatting sqref="B51:B54">
    <cfRule type="expression" dxfId="35" priority="29">
      <formula>$V51=1</formula>
    </cfRule>
  </conditionalFormatting>
  <conditionalFormatting sqref="B57:B60">
    <cfRule type="expression" dxfId="34" priority="32">
      <formula>$V57=1</formula>
    </cfRule>
  </conditionalFormatting>
  <conditionalFormatting sqref="B63:B66">
    <cfRule type="expression" dxfId="33" priority="35">
      <formula>$V63=1</formula>
    </cfRule>
  </conditionalFormatting>
  <conditionalFormatting sqref="B69:B72">
    <cfRule type="expression" dxfId="32" priority="38">
      <formula>$V69=1</formula>
    </cfRule>
  </conditionalFormatting>
  <conditionalFormatting sqref="B75:B78">
    <cfRule type="expression" dxfId="31" priority="41">
      <formula>$V75=1</formula>
    </cfRule>
  </conditionalFormatting>
  <conditionalFormatting sqref="B81:B84">
    <cfRule type="expression" dxfId="30" priority="44">
      <formula>$V81=1</formula>
    </cfRule>
  </conditionalFormatting>
  <conditionalFormatting sqref="R3:R6">
    <cfRule type="expression" dxfId="29" priority="6">
      <formula>$V3=1</formula>
    </cfRule>
  </conditionalFormatting>
  <conditionalFormatting sqref="R9:R12">
    <cfRule type="expression" dxfId="28" priority="9">
      <formula>$V9=1</formula>
    </cfRule>
  </conditionalFormatting>
  <conditionalFormatting sqref="R15:R18">
    <cfRule type="expression" dxfId="27" priority="12">
      <formula>$V15=1</formula>
    </cfRule>
  </conditionalFormatting>
  <conditionalFormatting sqref="R21:R24">
    <cfRule type="expression" dxfId="26" priority="15">
      <formula>$V21=1</formula>
    </cfRule>
  </conditionalFormatting>
  <conditionalFormatting sqref="R27:R30">
    <cfRule type="expression" dxfId="25" priority="18">
      <formula>$V27=1</formula>
    </cfRule>
  </conditionalFormatting>
  <conditionalFormatting sqref="R33:R36">
    <cfRule type="expression" dxfId="24" priority="21">
      <formula>$V33=1</formula>
    </cfRule>
  </conditionalFormatting>
  <conditionalFormatting sqref="R39:R42">
    <cfRule type="expression" dxfId="23" priority="24">
      <formula>$V39=1</formula>
    </cfRule>
  </conditionalFormatting>
  <conditionalFormatting sqref="R45:R48">
    <cfRule type="expression" dxfId="22" priority="27">
      <formula>$V45=1</formula>
    </cfRule>
  </conditionalFormatting>
  <conditionalFormatting sqref="R51:R54">
    <cfRule type="expression" dxfId="21" priority="30">
      <formula>$V51=1</formula>
    </cfRule>
  </conditionalFormatting>
  <conditionalFormatting sqref="R57:R60">
    <cfRule type="expression" dxfId="20" priority="33">
      <formula>$V57=1</formula>
    </cfRule>
  </conditionalFormatting>
  <conditionalFormatting sqref="R63:R66">
    <cfRule type="expression" dxfId="19" priority="36">
      <formula>$V63=1</formula>
    </cfRule>
  </conditionalFormatting>
  <conditionalFormatting sqref="R69:R72">
    <cfRule type="expression" dxfId="18" priority="39">
      <formula>$V69=1</formula>
    </cfRule>
  </conditionalFormatting>
  <conditionalFormatting sqref="R75:R78">
    <cfRule type="expression" dxfId="17" priority="42">
      <formula>$V75=1</formula>
    </cfRule>
  </conditionalFormatting>
  <conditionalFormatting sqref="R81:R84">
    <cfRule type="expression" dxfId="16" priority="45">
      <formula>$V81=1</formula>
    </cfRule>
  </conditionalFormatting>
  <conditionalFormatting sqref="V3:V6">
    <cfRule type="expression" dxfId="15" priority="7">
      <formula>$V3=1</formula>
    </cfRule>
  </conditionalFormatting>
  <conditionalFormatting sqref="V9:V12">
    <cfRule type="expression" dxfId="14" priority="3">
      <formula>$V9=1</formula>
    </cfRule>
  </conditionalFormatting>
  <conditionalFormatting sqref="V15:V18">
    <cfRule type="expression" dxfId="13" priority="2">
      <formula>$V15=1</formula>
    </cfRule>
  </conditionalFormatting>
  <conditionalFormatting sqref="V21:V24">
    <cfRule type="expression" dxfId="12" priority="1">
      <formula>$V21=1</formula>
    </cfRule>
  </conditionalFormatting>
  <conditionalFormatting sqref="V27:V30">
    <cfRule type="expression" dxfId="11" priority="19">
      <formula>$V27=1</formula>
    </cfRule>
  </conditionalFormatting>
  <conditionalFormatting sqref="V33:V36">
    <cfRule type="expression" dxfId="10" priority="22">
      <formula>$V33=1</formula>
    </cfRule>
  </conditionalFormatting>
  <conditionalFormatting sqref="V39:V42">
    <cfRule type="expression" dxfId="9" priority="25">
      <formula>$V39=1</formula>
    </cfRule>
  </conditionalFormatting>
  <conditionalFormatting sqref="V45:V48">
    <cfRule type="expression" dxfId="8" priority="28">
      <formula>$V45=1</formula>
    </cfRule>
  </conditionalFormatting>
  <conditionalFormatting sqref="V51:V54">
    <cfRule type="expression" dxfId="7" priority="31">
      <formula>$V51=1</formula>
    </cfRule>
  </conditionalFormatting>
  <conditionalFormatting sqref="V57:V60">
    <cfRule type="expression" dxfId="6" priority="34">
      <formula>$V57=1</formula>
    </cfRule>
  </conditionalFormatting>
  <conditionalFormatting sqref="V63:V66">
    <cfRule type="expression" dxfId="5" priority="37">
      <formula>$V63=1</formula>
    </cfRule>
  </conditionalFormatting>
  <conditionalFormatting sqref="V69:V72">
    <cfRule type="expression" dxfId="4" priority="40">
      <formula>$V69=1</formula>
    </cfRule>
  </conditionalFormatting>
  <conditionalFormatting sqref="V75:V78">
    <cfRule type="expression" dxfId="3" priority="43">
      <formula>$V75=1</formula>
    </cfRule>
  </conditionalFormatting>
  <conditionalFormatting sqref="V81:V84">
    <cfRule type="expression" dxfId="2" priority="46">
      <formula>$V81=1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8"/>
  <sheetViews>
    <sheetView showGridLines="0" zoomScale="85" zoomScaleNormal="85" workbookViewId="0">
      <pane ySplit="2" topLeftCell="A3" activePane="bottomLeft" state="frozen"/>
      <selection pane="bottomLeft" activeCell="Z11" sqref="Z11"/>
    </sheetView>
  </sheetViews>
  <sheetFormatPr defaultColWidth="8.5" defaultRowHeight="18.75"/>
  <cols>
    <col min="1" max="1" width="0.625" style="9" customWidth="1"/>
    <col min="2" max="2" width="13" style="25" customWidth="1"/>
    <col min="3" max="3" width="18" style="25" customWidth="1"/>
    <col min="4" max="4" width="12" style="26" customWidth="1"/>
    <col min="5" max="11" width="7" style="27" customWidth="1"/>
    <col min="12" max="16384" width="8.5" style="10"/>
  </cols>
  <sheetData>
    <row r="1" spans="1:11" ht="19.5" customHeight="1">
      <c r="A1" s="11"/>
      <c r="B1" s="28"/>
      <c r="C1" s="28"/>
      <c r="D1" s="28"/>
      <c r="E1" s="29" t="s">
        <v>82</v>
      </c>
      <c r="F1" s="29" t="s">
        <v>83</v>
      </c>
      <c r="G1" s="29" t="s">
        <v>84</v>
      </c>
      <c r="H1" s="28"/>
      <c r="I1" s="28"/>
      <c r="J1" s="79">
        <f ca="1">NOW()</f>
        <v>46094.95662384259</v>
      </c>
      <c r="K1" s="79"/>
    </row>
    <row r="2" spans="1:11" ht="21.75" customHeight="1">
      <c r="A2" s="11"/>
      <c r="B2" s="30" t="s">
        <v>69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</row>
    <row r="3" spans="1:11" ht="19.5" customHeight="1">
      <c r="A3" s="11"/>
      <c r="B3" s="31">
        <f>IF(COUNTA(date!$B$2:$B$57)&lt;1,"",IFERROR(COUNTIF(date!$K$2:$K$57,"&gt;"&amp;LARGE(date!$K$2:$K$57,1))+1,""))</f>
        <v>1</v>
      </c>
      <c r="C3" s="32" t="str">
        <f>IF(COUNTA(date!$B$2:$B$57)&lt;1,"",INDEX(date!B$2:B$57,MATCH(LARGE(date!K$2:K$57,1),date!K$2:K$57,0)))</f>
        <v>チームA-１</v>
      </c>
      <c r="D3" s="31" t="str">
        <f>IF(COUNTA(date!$B$2:$B$57)&lt;1,"",INDEX(date!C$2:C$57,MATCH(LARGE(date!K$2:K$57,1),date!K$2:K$57,0)))</f>
        <v>Aパート</v>
      </c>
      <c r="E3" s="31">
        <f>IF(COUNTA(date!$B$2:$B$57)&lt;1,"",INDEX(date!D$2:D$57,MATCH(LARGE(date!K$2:K$57,1),date!K$2:K$57,0)))</f>
        <v>0</v>
      </c>
      <c r="F3" s="31">
        <f>IF(COUNTA(date!$B$2:$B$57)&lt;1,"",INDEX(date!E$2:E$57,MATCH(LARGE(date!K$2:K$57,1),date!K$2:K$57,0)))</f>
        <v>0</v>
      </c>
      <c r="G3" s="31">
        <f>IF(COUNTA(date!$B$2:$B$57)&lt;1,"",INDEX(date!F$2:F$57,MATCH(LARGE(date!K$2:K$57,1),date!K$2:K$57,0)))</f>
        <v>0</v>
      </c>
      <c r="H3" s="31">
        <f>IF(COUNTA(date!$B$2:$B$57)&lt;1,"",INDEX(date!G$2:G$57,MATCH(LARGE(date!K$2:K$57,1),date!K$2:K$57,0)))</f>
        <v>0</v>
      </c>
      <c r="I3" s="31">
        <f>IF(COUNTA(date!$B$2:$B$57)&lt;1,"",INDEX(date!H$2:H$57,MATCH(LARGE(date!K$2:K$57,1),date!K$2:K$57,0)))</f>
        <v>0</v>
      </c>
      <c r="J3" s="31">
        <f>IF(COUNTA(date!$B$2:$B$57)&lt;1,"",INDEX(date!I$2:I$57,MATCH(LARGE(date!K$2:K$57,1),date!K$2:K$57,0)))</f>
        <v>0</v>
      </c>
      <c r="K3" s="31">
        <f>IF(COUNTA(date!$B$2:$B$57)&lt;1,"",INDEX(date!J$2:J$57,MATCH(LARGE(date!K$2:K$57,1),date!K$2:K$57,0)))</f>
        <v>0</v>
      </c>
    </row>
    <row r="4" spans="1:11" ht="19.5" customHeight="1">
      <c r="A4" s="11"/>
      <c r="B4" s="8">
        <f>IF(COUNTA(date!$B$2:$B$57)&lt;2,"",IFERROR(COUNTIF(date!$K$2:$K$57,"&gt;"&amp;LARGE(date!$K$2:$K$57,2))+1,""))</f>
        <v>2</v>
      </c>
      <c r="C4" s="7" t="str">
        <f>IF(COUNTA(date!$B$2:$B$57)&lt;2,"",INDEX(date!B$2:B$57,MATCH(LARGE(date!K$2:K$57,2),date!K$2:K$57,0)))</f>
        <v>チームA-2</v>
      </c>
      <c r="D4" s="8" t="str">
        <f>IF(COUNTA(date!$B$2:$B$57)&lt;2,"",INDEX(date!C$2:C$57,MATCH(LARGE(date!K$2:K$57,2),date!K$2:K$57,0)))</f>
        <v>Aパート</v>
      </c>
      <c r="E4" s="8">
        <f>IF(COUNTA(date!$B$2:$B$57)&lt;2,"",INDEX(date!D$2:D$57,MATCH(LARGE(date!K$2:K$57,2),date!K$2:K$57,0)))</f>
        <v>0</v>
      </c>
      <c r="F4" s="8">
        <f>IF(COUNTA(date!$B$2:$B$57)&lt;2,"",INDEX(date!E$2:E$57,MATCH(LARGE(date!K$2:K$57,2),date!K$2:K$57,0)))</f>
        <v>0</v>
      </c>
      <c r="G4" s="8">
        <f>IF(COUNTA(date!$B$2:$B$57)&lt;2,"",INDEX(date!F$2:F$57,MATCH(LARGE(date!K$2:K$57,2),date!K$2:K$57,0)))</f>
        <v>0</v>
      </c>
      <c r="H4" s="8">
        <f>IF(COUNTA(date!$B$2:$B$57)&lt;2,"",INDEX(date!G$2:G$57,MATCH(LARGE(date!K$2:K$57,2),date!K$2:K$57,0)))</f>
        <v>0</v>
      </c>
      <c r="I4" s="8">
        <f>IF(COUNTA(date!$B$2:$B$57)&lt;2,"",INDEX(date!H$2:H$57,MATCH(LARGE(date!K$2:K$57,2),date!K$2:K$57,0)))</f>
        <v>0</v>
      </c>
      <c r="J4" s="8">
        <f>IF(COUNTA(date!$B$2:$B$57)&lt;2,"",INDEX(date!I$2:I$57,MATCH(LARGE(date!K$2:K$57,2),date!K$2:K$57,0)))</f>
        <v>0</v>
      </c>
      <c r="K4" s="8">
        <f>IF(COUNTA(date!$B$2:$B$57)&lt;2,"",INDEX(date!J$2:J$57,MATCH(LARGE(date!K$2:K$57,2),date!K$2:K$57,0)))</f>
        <v>0</v>
      </c>
    </row>
    <row r="5" spans="1:11" ht="19.5" customHeight="1">
      <c r="A5" s="11"/>
      <c r="B5" s="31">
        <f>IF(COUNTA(date!$B$2:$B$57)&lt;3,"",IFERROR(COUNTIF(date!$K$2:$K$57,"&gt;"&amp;LARGE(date!$K$2:$K$57,3))+1,""))</f>
        <v>3</v>
      </c>
      <c r="C5" s="32" t="str">
        <f>IF(COUNTA(date!$B$2:$B$57)&lt;3,"",INDEX(date!B$2:B$57,MATCH(LARGE(date!K$2:K$57,3),date!K$2:K$57,0)))</f>
        <v>チームA-3</v>
      </c>
      <c r="D5" s="31" t="str">
        <f>IF(COUNTA(date!$B$2:$B$57)&lt;3,"",INDEX(date!C$2:C$57,MATCH(LARGE(date!K$2:K$57,3),date!K$2:K$57,0)))</f>
        <v>Aパート</v>
      </c>
      <c r="E5" s="31">
        <f>IF(COUNTA(date!$B$2:$B$57)&lt;3,"",INDEX(date!D$2:D$57,MATCH(LARGE(date!K$2:K$57,3),date!K$2:K$57,0)))</f>
        <v>0</v>
      </c>
      <c r="F5" s="31">
        <f>IF(COUNTA(date!$B$2:$B$57)&lt;3,"",INDEX(date!E$2:E$57,MATCH(LARGE(date!K$2:K$57,3),date!K$2:K$57,0)))</f>
        <v>0</v>
      </c>
      <c r="G5" s="31">
        <f>IF(COUNTA(date!$B$2:$B$57)&lt;3,"",INDEX(date!F$2:F$57,MATCH(LARGE(date!K$2:K$57,3),date!K$2:K$57,0)))</f>
        <v>0</v>
      </c>
      <c r="H5" s="31">
        <f>IF(COUNTA(date!$B$2:$B$57)&lt;3,"",INDEX(date!G$2:G$57,MATCH(LARGE(date!K$2:K$57,3),date!K$2:K$57,0)))</f>
        <v>0</v>
      </c>
      <c r="I5" s="31">
        <f>IF(COUNTA(date!$B$2:$B$57)&lt;3,"",INDEX(date!H$2:H$57,MATCH(LARGE(date!K$2:K$57,3),date!K$2:K$57,0)))</f>
        <v>0</v>
      </c>
      <c r="J5" s="31">
        <f>IF(COUNTA(date!$B$2:$B$57)&lt;3,"",INDEX(date!I$2:I$57,MATCH(LARGE(date!K$2:K$57,3),date!K$2:K$57,0)))</f>
        <v>0</v>
      </c>
      <c r="K5" s="31">
        <f>IF(COUNTA(date!$B$2:$B$57)&lt;3,"",INDEX(date!J$2:J$57,MATCH(LARGE(date!K$2:K$57,3),date!K$2:K$57,0)))</f>
        <v>0</v>
      </c>
    </row>
    <row r="6" spans="1:11" ht="19.5" customHeight="1">
      <c r="A6" s="11"/>
      <c r="B6" s="8">
        <f>IF(COUNTA(date!$B$2:$B$57)&lt;4,"",IFERROR(COUNTIF(date!$K$2:$K$57,"&gt;"&amp;LARGE(date!$K$2:$K$57,4))+1,""))</f>
        <v>4</v>
      </c>
      <c r="C6" s="7" t="str">
        <f>IF(COUNTA(date!$B$2:$B$57)&lt;4,"",INDEX(date!B$2:B$57,MATCH(LARGE(date!K$2:K$57,4),date!K$2:K$57,0)))</f>
        <v>チームA-4</v>
      </c>
      <c r="D6" s="8" t="str">
        <f>IF(COUNTA(date!$B$2:$B$57)&lt;4,"",INDEX(date!C$2:C$57,MATCH(LARGE(date!K$2:K$57,4),date!K$2:K$57,0)))</f>
        <v>Aパート</v>
      </c>
      <c r="E6" s="8">
        <f>IF(COUNTA(date!$B$2:$B$57)&lt;4,"",INDEX(date!D$2:D$57,MATCH(LARGE(date!K$2:K$57,4),date!K$2:K$57,0)))</f>
        <v>0</v>
      </c>
      <c r="F6" s="8">
        <f>IF(COUNTA(date!$B$2:$B$57)&lt;4,"",INDEX(date!E$2:E$57,MATCH(LARGE(date!K$2:K$57,4),date!K$2:K$57,0)))</f>
        <v>0</v>
      </c>
      <c r="G6" s="8">
        <f>IF(COUNTA(date!$B$2:$B$57)&lt;4,"",INDEX(date!F$2:F$57,MATCH(LARGE(date!K$2:K$57,4),date!K$2:K$57,0)))</f>
        <v>0</v>
      </c>
      <c r="H6" s="8">
        <f>IF(COUNTA(date!$B$2:$B$57)&lt;4,"",INDEX(date!G$2:G$57,MATCH(LARGE(date!K$2:K$57,4),date!K$2:K$57,0)))</f>
        <v>0</v>
      </c>
      <c r="I6" s="8">
        <f>IF(COUNTA(date!$B$2:$B$57)&lt;4,"",INDEX(date!H$2:H$57,MATCH(LARGE(date!K$2:K$57,4),date!K$2:K$57,0)))</f>
        <v>0</v>
      </c>
      <c r="J6" s="8">
        <f>IF(COUNTA(date!$B$2:$B$57)&lt;4,"",INDEX(date!I$2:I$57,MATCH(LARGE(date!K$2:K$57,4),date!K$2:K$57,0)))</f>
        <v>0</v>
      </c>
      <c r="K6" s="8">
        <f>IF(COUNTA(date!$B$2:$B$57)&lt;4,"",INDEX(date!J$2:J$57,MATCH(LARGE(date!K$2:K$57,4),date!K$2:K$57,0)))</f>
        <v>0</v>
      </c>
    </row>
    <row r="7" spans="1:11" ht="19.5" customHeight="1">
      <c r="A7" s="11"/>
      <c r="B7" s="31">
        <f>IF(COUNTA(date!$B$2:$B$57)&lt;5,"",IFERROR(COUNTIF(date!$K$2:$K$57,"&gt;"&amp;LARGE(date!$K$2:$K$57,5))+1,""))</f>
        <v>5</v>
      </c>
      <c r="C7" s="32" t="str">
        <f>IF(COUNTA(date!$B$2:$B$57)&lt;5,"",INDEX(date!B$2:B$57,MATCH(LARGE(date!K$2:K$57,5),date!K$2:K$57,0)))</f>
        <v>チームB-1</v>
      </c>
      <c r="D7" s="31" t="str">
        <f>IF(COUNTA(date!$B$2:$B$57)&lt;5,"",INDEX(date!C$2:C$57,MATCH(LARGE(date!K$2:K$57,5),date!K$2:K$57,0)))</f>
        <v>Bパート</v>
      </c>
      <c r="E7" s="31">
        <f>IF(COUNTA(date!$B$2:$B$57)&lt;5,"",INDEX(date!D$2:D$57,MATCH(LARGE(date!K$2:K$57,5),date!K$2:K$57,0)))</f>
        <v>0</v>
      </c>
      <c r="F7" s="31">
        <f>IF(COUNTA(date!$B$2:$B$57)&lt;5,"",INDEX(date!E$2:E$57,MATCH(LARGE(date!K$2:K$57,5),date!K$2:K$57,0)))</f>
        <v>0</v>
      </c>
      <c r="G7" s="31">
        <f>IF(COUNTA(date!$B$2:$B$57)&lt;5,"",INDEX(date!F$2:F$57,MATCH(LARGE(date!K$2:K$57,5),date!K$2:K$57,0)))</f>
        <v>0</v>
      </c>
      <c r="H7" s="31">
        <f>IF(COUNTA(date!$B$2:$B$57)&lt;5,"",INDEX(date!G$2:G$57,MATCH(LARGE(date!K$2:K$57,5),date!K$2:K$57,0)))</f>
        <v>0</v>
      </c>
      <c r="I7" s="31">
        <f>IF(COUNTA(date!$B$2:$B$57)&lt;5,"",INDEX(date!H$2:H$57,MATCH(LARGE(date!K$2:K$57,5),date!K$2:K$57,0)))</f>
        <v>0</v>
      </c>
      <c r="J7" s="31">
        <f>IF(COUNTA(date!$B$2:$B$57)&lt;5,"",INDEX(date!I$2:I$57,MATCH(LARGE(date!K$2:K$57,5),date!K$2:K$57,0)))</f>
        <v>0</v>
      </c>
      <c r="K7" s="31">
        <f>IF(COUNTA(date!$B$2:$B$57)&lt;5,"",INDEX(date!J$2:J$57,MATCH(LARGE(date!K$2:K$57,5),date!K$2:K$57,0)))</f>
        <v>0</v>
      </c>
    </row>
    <row r="8" spans="1:11" ht="19.5" customHeight="1">
      <c r="A8" s="11"/>
      <c r="B8" s="8">
        <f>IF(COUNTA(date!$B$2:$B$57)&lt;6,"",IFERROR(COUNTIF(date!$K$2:$K$57,"&gt;"&amp;LARGE(date!$K$2:$K$57,6))+1,""))</f>
        <v>6</v>
      </c>
      <c r="C8" s="7" t="str">
        <f>IF(COUNTA(date!$B$2:$B$57)&lt;6,"",INDEX(date!B$2:B$57,MATCH(LARGE(date!K$2:K$57,6),date!K$2:K$57,0)))</f>
        <v>チームB-2</v>
      </c>
      <c r="D8" s="8" t="str">
        <f>IF(COUNTA(date!$B$2:$B$57)&lt;6,"",INDEX(date!C$2:C$57,MATCH(LARGE(date!K$2:K$57,6),date!K$2:K$57,0)))</f>
        <v>Bパート</v>
      </c>
      <c r="E8" s="8">
        <f>IF(COUNTA(date!$B$2:$B$57)&lt;6,"",INDEX(date!D$2:D$57,MATCH(LARGE(date!K$2:K$57,6),date!K$2:K$57,0)))</f>
        <v>0</v>
      </c>
      <c r="F8" s="8">
        <f>IF(COUNTA(date!$B$2:$B$57)&lt;6,"",INDEX(date!E$2:E$57,MATCH(LARGE(date!K$2:K$57,6),date!K$2:K$57,0)))</f>
        <v>0</v>
      </c>
      <c r="G8" s="8">
        <f>IF(COUNTA(date!$B$2:$B$57)&lt;6,"",INDEX(date!F$2:F$57,MATCH(LARGE(date!K$2:K$57,6),date!K$2:K$57,0)))</f>
        <v>0</v>
      </c>
      <c r="H8" s="8">
        <f>IF(COUNTA(date!$B$2:$B$57)&lt;6,"",INDEX(date!G$2:G$57,MATCH(LARGE(date!K$2:K$57,6),date!K$2:K$57,0)))</f>
        <v>0</v>
      </c>
      <c r="I8" s="8">
        <f>IF(COUNTA(date!$B$2:$B$57)&lt;6,"",INDEX(date!H$2:H$57,MATCH(LARGE(date!K$2:K$57,6),date!K$2:K$57,0)))</f>
        <v>0</v>
      </c>
      <c r="J8" s="8">
        <f>IF(COUNTA(date!$B$2:$B$57)&lt;6,"",INDEX(date!I$2:I$57,MATCH(LARGE(date!K$2:K$57,6),date!K$2:K$57,0)))</f>
        <v>0</v>
      </c>
      <c r="K8" s="8">
        <f>IF(COUNTA(date!$B$2:$B$57)&lt;6,"",INDEX(date!J$2:J$57,MATCH(LARGE(date!K$2:K$57,6),date!K$2:K$57,0)))</f>
        <v>0</v>
      </c>
    </row>
    <row r="9" spans="1:11" ht="19.5" customHeight="1">
      <c r="A9" s="11"/>
      <c r="B9" s="31">
        <f>IF(COUNTA(date!$B$2:$B$57)&lt;7,"",IFERROR(COUNTIF(date!$K$2:$K$57,"&gt;"&amp;LARGE(date!$K$2:$K$57,7))+1,""))</f>
        <v>7</v>
      </c>
      <c r="C9" s="32" t="str">
        <f>IF(COUNTA(date!$B$2:$B$57)&lt;7,"",INDEX(date!B$2:B$57,MATCH(LARGE(date!K$2:K$57,7),date!K$2:K$57,0)))</f>
        <v>チームB-3</v>
      </c>
      <c r="D9" s="31" t="str">
        <f>IF(COUNTA(date!$B$2:$B$57)&lt;7,"",INDEX(date!C$2:C$57,MATCH(LARGE(date!K$2:K$57,7),date!K$2:K$57,0)))</f>
        <v>Bパート</v>
      </c>
      <c r="E9" s="31">
        <f>IF(COUNTA(date!$B$2:$B$57)&lt;7,"",INDEX(date!D$2:D$57,MATCH(LARGE(date!K$2:K$57,7),date!K$2:K$57,0)))</f>
        <v>0</v>
      </c>
      <c r="F9" s="31">
        <f>IF(COUNTA(date!$B$2:$B$57)&lt;7,"",INDEX(date!E$2:E$57,MATCH(LARGE(date!K$2:K$57,7),date!K$2:K$57,0)))</f>
        <v>0</v>
      </c>
      <c r="G9" s="31">
        <f>IF(COUNTA(date!$B$2:$B$57)&lt;7,"",INDEX(date!F$2:F$57,MATCH(LARGE(date!K$2:K$57,7),date!K$2:K$57,0)))</f>
        <v>0</v>
      </c>
      <c r="H9" s="31">
        <f>IF(COUNTA(date!$B$2:$B$57)&lt;7,"",INDEX(date!G$2:G$57,MATCH(LARGE(date!K$2:K$57,7),date!K$2:K$57,0)))</f>
        <v>0</v>
      </c>
      <c r="I9" s="31">
        <f>IF(COUNTA(date!$B$2:$B$57)&lt;7,"",INDEX(date!H$2:H$57,MATCH(LARGE(date!K$2:K$57,7),date!K$2:K$57,0)))</f>
        <v>0</v>
      </c>
      <c r="J9" s="31">
        <f>IF(COUNTA(date!$B$2:$B$57)&lt;7,"",INDEX(date!I$2:I$57,MATCH(LARGE(date!K$2:K$57,7),date!K$2:K$57,0)))</f>
        <v>0</v>
      </c>
      <c r="K9" s="31">
        <f>IF(COUNTA(date!$B$2:$B$57)&lt;7,"",INDEX(date!J$2:J$57,MATCH(LARGE(date!K$2:K$57,7),date!K$2:K$57,0)))</f>
        <v>0</v>
      </c>
    </row>
    <row r="10" spans="1:11" ht="19.5" customHeight="1">
      <c r="A10" s="11"/>
      <c r="B10" s="8">
        <f>IF(COUNTA(date!$B$2:$B$57)&lt;8,"",IFERROR(COUNTIF(date!$K$2:$K$57,"&gt;"&amp;LARGE(date!$K$2:$K$57,8))+1,""))</f>
        <v>8</v>
      </c>
      <c r="C10" s="7" t="str">
        <f>IF(COUNTA(date!$B$2:$B$57)&lt;8,"",INDEX(date!B$2:B$57,MATCH(LARGE(date!K$2:K$57,8),date!K$2:K$57,0)))</f>
        <v>チームB-4</v>
      </c>
      <c r="D10" s="8" t="str">
        <f>IF(COUNTA(date!$B$2:$B$57)&lt;8,"",INDEX(date!C$2:C$57,MATCH(LARGE(date!K$2:K$57,8),date!K$2:K$57,0)))</f>
        <v>Bパート</v>
      </c>
      <c r="E10" s="8">
        <f>IF(COUNTA(date!$B$2:$B$57)&lt;8,"",INDEX(date!D$2:D$57,MATCH(LARGE(date!K$2:K$57,8),date!K$2:K$57,0)))</f>
        <v>0</v>
      </c>
      <c r="F10" s="8">
        <f>IF(COUNTA(date!$B$2:$B$57)&lt;8,"",INDEX(date!E$2:E$57,MATCH(LARGE(date!K$2:K$57,8),date!K$2:K$57,0)))</f>
        <v>0</v>
      </c>
      <c r="G10" s="8">
        <f>IF(COUNTA(date!$B$2:$B$57)&lt;8,"",INDEX(date!F$2:F$57,MATCH(LARGE(date!K$2:K$57,8),date!K$2:K$57,0)))</f>
        <v>0</v>
      </c>
      <c r="H10" s="8">
        <f>IF(COUNTA(date!$B$2:$B$57)&lt;8,"",INDEX(date!G$2:G$57,MATCH(LARGE(date!K$2:K$57,8),date!K$2:K$57,0)))</f>
        <v>0</v>
      </c>
      <c r="I10" s="8">
        <f>IF(COUNTA(date!$B$2:$B$57)&lt;8,"",INDEX(date!H$2:H$57,MATCH(LARGE(date!K$2:K$57,8),date!K$2:K$57,0)))</f>
        <v>0</v>
      </c>
      <c r="J10" s="8">
        <f>IF(COUNTA(date!$B$2:$B$57)&lt;8,"",INDEX(date!I$2:I$57,MATCH(LARGE(date!K$2:K$57,8),date!K$2:K$57,0)))</f>
        <v>0</v>
      </c>
      <c r="K10" s="8">
        <f>IF(COUNTA(date!$B$2:$B$57)&lt;8,"",INDEX(date!J$2:J$57,MATCH(LARGE(date!K$2:K$57,8),date!K$2:K$57,0)))</f>
        <v>0</v>
      </c>
    </row>
    <row r="11" spans="1:11" ht="19.5" customHeight="1">
      <c r="A11" s="11"/>
      <c r="B11" s="31">
        <f>IF(COUNTA(date!$B$2:$B$57)&lt;9,"",IFERROR(COUNTIF(date!$K$2:$K$57,"&gt;"&amp;LARGE(date!$K$2:$K$57,9))+1,""))</f>
        <v>9</v>
      </c>
      <c r="C11" s="32" t="str">
        <f>IF(COUNTA(date!$B$2:$B$57)&lt;9,"",INDEX(date!B$2:B$57,MATCH(LARGE(date!K$2:K$57,9),date!K$2:K$57,0)))</f>
        <v>チームC-1</v>
      </c>
      <c r="D11" s="31" t="str">
        <f>IF(COUNTA(date!$B$2:$B$57)&lt;9,"",INDEX(date!C$2:C$57,MATCH(LARGE(date!K$2:K$57,9),date!K$2:K$57,0)))</f>
        <v>Cパート</v>
      </c>
      <c r="E11" s="31">
        <f>IF(COUNTA(date!$B$2:$B$57)&lt;9,"",INDEX(date!D$2:D$57,MATCH(LARGE(date!K$2:K$57,9),date!K$2:K$57,0)))</f>
        <v>0</v>
      </c>
      <c r="F11" s="31">
        <f>IF(COUNTA(date!$B$2:$B$57)&lt;9,"",INDEX(date!E$2:E$57,MATCH(LARGE(date!K$2:K$57,9),date!K$2:K$57,0)))</f>
        <v>0</v>
      </c>
      <c r="G11" s="31">
        <f>IF(COUNTA(date!$B$2:$B$57)&lt;9,"",INDEX(date!F$2:F$57,MATCH(LARGE(date!K$2:K$57,9),date!K$2:K$57,0)))</f>
        <v>0</v>
      </c>
      <c r="H11" s="31">
        <f>IF(COUNTA(date!$B$2:$B$57)&lt;9,"",INDEX(date!G$2:G$57,MATCH(LARGE(date!K$2:K$57,9),date!K$2:K$57,0)))</f>
        <v>0</v>
      </c>
      <c r="I11" s="31">
        <f>IF(COUNTA(date!$B$2:$B$57)&lt;9,"",INDEX(date!H$2:H$57,MATCH(LARGE(date!K$2:K$57,9),date!K$2:K$57,0)))</f>
        <v>0</v>
      </c>
      <c r="J11" s="31">
        <f>IF(COUNTA(date!$B$2:$B$57)&lt;9,"",INDEX(date!I$2:I$57,MATCH(LARGE(date!K$2:K$57,9),date!K$2:K$57,0)))</f>
        <v>0</v>
      </c>
      <c r="K11" s="31">
        <f>IF(COUNTA(date!$B$2:$B$57)&lt;9,"",INDEX(date!J$2:J$57,MATCH(LARGE(date!K$2:K$57,9),date!K$2:K$57,0)))</f>
        <v>0</v>
      </c>
    </row>
    <row r="12" spans="1:11" ht="19.5" customHeight="1">
      <c r="A12" s="11"/>
      <c r="B12" s="8">
        <f>IF(COUNTA(date!$B$2:$B$57)&lt;10,"",IFERROR(COUNTIF(date!$K$2:$K$57,"&gt;"&amp;LARGE(date!$K$2:$K$57,10))+1,""))</f>
        <v>10</v>
      </c>
      <c r="C12" s="7" t="str">
        <f>IF(COUNTA(date!$B$2:$B$57)&lt;10,"",INDEX(date!B$2:B$57,MATCH(LARGE(date!K$2:K$57,10),date!K$2:K$57,0)))</f>
        <v>チームC-2</v>
      </c>
      <c r="D12" s="8" t="str">
        <f>IF(COUNTA(date!$B$2:$B$57)&lt;10,"",INDEX(date!C$2:C$57,MATCH(LARGE(date!K$2:K$57,10),date!K$2:K$57,0)))</f>
        <v>Cパート</v>
      </c>
      <c r="E12" s="8">
        <f>IF(COUNTA(date!$B$2:$B$57)&lt;10,"",INDEX(date!D$2:D$57,MATCH(LARGE(date!K$2:K$57,10),date!K$2:K$57,0)))</f>
        <v>0</v>
      </c>
      <c r="F12" s="8">
        <f>IF(COUNTA(date!$B$2:$B$57)&lt;10,"",INDEX(date!E$2:E$57,MATCH(LARGE(date!K$2:K$57,10),date!K$2:K$57,0)))</f>
        <v>0</v>
      </c>
      <c r="G12" s="8">
        <f>IF(COUNTA(date!$B$2:$B$57)&lt;10,"",INDEX(date!F$2:F$57,MATCH(LARGE(date!K$2:K$57,10),date!K$2:K$57,0)))</f>
        <v>0</v>
      </c>
      <c r="H12" s="8">
        <f>IF(COUNTA(date!$B$2:$B$57)&lt;10,"",INDEX(date!G$2:G$57,MATCH(LARGE(date!K$2:K$57,10),date!K$2:K$57,0)))</f>
        <v>0</v>
      </c>
      <c r="I12" s="8">
        <f>IF(COUNTA(date!$B$2:$B$57)&lt;10,"",INDEX(date!H$2:H$57,MATCH(LARGE(date!K$2:K$57,10),date!K$2:K$57,0)))</f>
        <v>0</v>
      </c>
      <c r="J12" s="8">
        <f>IF(COUNTA(date!$B$2:$B$57)&lt;10,"",INDEX(date!I$2:I$57,MATCH(LARGE(date!K$2:K$57,10),date!K$2:K$57,0)))</f>
        <v>0</v>
      </c>
      <c r="K12" s="8">
        <f>IF(COUNTA(date!$B$2:$B$57)&lt;10,"",INDEX(date!J$2:J$57,MATCH(LARGE(date!K$2:K$57,10),date!K$2:K$57,0)))</f>
        <v>0</v>
      </c>
    </row>
    <row r="13" spans="1:11" ht="19.5" customHeight="1">
      <c r="A13" s="11"/>
      <c r="B13" s="31">
        <f>IF(COUNTA(date!$B$2:$B$57)&lt;11,"",IFERROR(COUNTIF(date!$K$2:$K$57,"&gt;"&amp;LARGE(date!$K$2:$K$57,11))+1,""))</f>
        <v>11</v>
      </c>
      <c r="C13" s="32" t="str">
        <f>IF(COUNTA(date!$B$2:$B$57)&lt;11,"",INDEX(date!B$2:B$57,MATCH(LARGE(date!K$2:K$57,11),date!K$2:K$57,0)))</f>
        <v>チームC-3</v>
      </c>
      <c r="D13" s="31" t="str">
        <f>IF(COUNTA(date!$B$2:$B$57)&lt;11,"",INDEX(date!C$2:C$57,MATCH(LARGE(date!K$2:K$57,11),date!K$2:K$57,0)))</f>
        <v>Cパート</v>
      </c>
      <c r="E13" s="31">
        <f>IF(COUNTA(date!$B$2:$B$57)&lt;11,"",INDEX(date!D$2:D$57,MATCH(LARGE(date!K$2:K$57,11),date!K$2:K$57,0)))</f>
        <v>0</v>
      </c>
      <c r="F13" s="31">
        <f>IF(COUNTA(date!$B$2:$B$57)&lt;11,"",INDEX(date!E$2:E$57,MATCH(LARGE(date!K$2:K$57,11),date!K$2:K$57,0)))</f>
        <v>0</v>
      </c>
      <c r="G13" s="31">
        <f>IF(COUNTA(date!$B$2:$B$57)&lt;11,"",INDEX(date!F$2:F$57,MATCH(LARGE(date!K$2:K$57,11),date!K$2:K$57,0)))</f>
        <v>0</v>
      </c>
      <c r="H13" s="31">
        <f>IF(COUNTA(date!$B$2:$B$57)&lt;11,"",INDEX(date!G$2:G$57,MATCH(LARGE(date!K$2:K$57,11),date!K$2:K$57,0)))</f>
        <v>0</v>
      </c>
      <c r="I13" s="31">
        <f>IF(COUNTA(date!$B$2:$B$57)&lt;11,"",INDEX(date!H$2:H$57,MATCH(LARGE(date!K$2:K$57,11),date!K$2:K$57,0)))</f>
        <v>0</v>
      </c>
      <c r="J13" s="31">
        <f>IF(COUNTA(date!$B$2:$B$57)&lt;11,"",INDEX(date!I$2:I$57,MATCH(LARGE(date!K$2:K$57,11),date!K$2:K$57,0)))</f>
        <v>0</v>
      </c>
      <c r="K13" s="31">
        <f>IF(COUNTA(date!$B$2:$B$57)&lt;11,"",INDEX(date!J$2:J$57,MATCH(LARGE(date!K$2:K$57,11),date!K$2:K$57,0)))</f>
        <v>0</v>
      </c>
    </row>
    <row r="14" spans="1:11" ht="19.5" customHeight="1">
      <c r="A14" s="11"/>
      <c r="B14" s="8">
        <f>IF(COUNTA(date!$B$2:$B$57)&lt;12,"",IFERROR(COUNTIF(date!$K$2:$K$57,"&gt;"&amp;LARGE(date!$K$2:$K$57,12))+1,""))</f>
        <v>12</v>
      </c>
      <c r="C14" s="7" t="str">
        <f>IF(COUNTA(date!$B$2:$B$57)&lt;12,"",INDEX(date!B$2:B$57,MATCH(LARGE(date!K$2:K$57,12),date!K$2:K$57,0)))</f>
        <v>チームC-4</v>
      </c>
      <c r="D14" s="8" t="str">
        <f>IF(COUNTA(date!$B$2:$B$57)&lt;12,"",INDEX(date!C$2:C$57,MATCH(LARGE(date!K$2:K$57,12),date!K$2:K$57,0)))</f>
        <v>Cパート</v>
      </c>
      <c r="E14" s="8">
        <f>IF(COUNTA(date!$B$2:$B$57)&lt;12,"",INDEX(date!D$2:D$57,MATCH(LARGE(date!K$2:K$57,12),date!K$2:K$57,0)))</f>
        <v>0</v>
      </c>
      <c r="F14" s="8">
        <f>IF(COUNTA(date!$B$2:$B$57)&lt;12,"",INDEX(date!E$2:E$57,MATCH(LARGE(date!K$2:K$57,12),date!K$2:K$57,0)))</f>
        <v>0</v>
      </c>
      <c r="G14" s="8">
        <f>IF(COUNTA(date!$B$2:$B$57)&lt;12,"",INDEX(date!F$2:F$57,MATCH(LARGE(date!K$2:K$57,12),date!K$2:K$57,0)))</f>
        <v>0</v>
      </c>
      <c r="H14" s="8">
        <f>IF(COUNTA(date!$B$2:$B$57)&lt;12,"",INDEX(date!G$2:G$57,MATCH(LARGE(date!K$2:K$57,12),date!K$2:K$57,0)))</f>
        <v>0</v>
      </c>
      <c r="I14" s="8">
        <f>IF(COUNTA(date!$B$2:$B$57)&lt;12,"",INDEX(date!H$2:H$57,MATCH(LARGE(date!K$2:K$57,12),date!K$2:K$57,0)))</f>
        <v>0</v>
      </c>
      <c r="J14" s="8">
        <f>IF(COUNTA(date!$B$2:$B$57)&lt;12,"",INDEX(date!I$2:I$57,MATCH(LARGE(date!K$2:K$57,12),date!K$2:K$57,0)))</f>
        <v>0</v>
      </c>
      <c r="K14" s="8">
        <f>IF(COUNTA(date!$B$2:$B$57)&lt;12,"",INDEX(date!J$2:J$57,MATCH(LARGE(date!K$2:K$57,12),date!K$2:K$57,0)))</f>
        <v>0</v>
      </c>
    </row>
    <row r="15" spans="1:11" ht="19.5" customHeight="1">
      <c r="A15" s="11"/>
      <c r="B15" s="31">
        <f>IF(COUNTA(date!$B$2:$B$57)&lt;13,"",IFERROR(COUNTIF(date!$K$2:$K$57,"&gt;"&amp;LARGE(date!$K$2:$K$57,13))+1,""))</f>
        <v>13</v>
      </c>
      <c r="C15" s="32" t="str">
        <f>IF(COUNTA(date!$B$2:$B$57)&lt;13,"",INDEX(date!B$2:B$57,MATCH(LARGE(date!K$2:K$57,13),date!K$2:K$57,0)))</f>
        <v>チームD-1</v>
      </c>
      <c r="D15" s="31" t="str">
        <f>IF(COUNTA(date!$B$2:$B$57)&lt;13,"",INDEX(date!C$2:C$57,MATCH(LARGE(date!K$2:K$57,13),date!K$2:K$57,0)))</f>
        <v>Dパート</v>
      </c>
      <c r="E15" s="31">
        <f>IF(COUNTA(date!$B$2:$B$57)&lt;13,"",INDEX(date!D$2:D$57,MATCH(LARGE(date!K$2:K$57,13),date!K$2:K$57,0)))</f>
        <v>0</v>
      </c>
      <c r="F15" s="31">
        <f>IF(COUNTA(date!$B$2:$B$57)&lt;13,"",INDEX(date!E$2:E$57,MATCH(LARGE(date!K$2:K$57,13),date!K$2:K$57,0)))</f>
        <v>0</v>
      </c>
      <c r="G15" s="31">
        <f>IF(COUNTA(date!$B$2:$B$57)&lt;13,"",INDEX(date!F$2:F$57,MATCH(LARGE(date!K$2:K$57,13),date!K$2:K$57,0)))</f>
        <v>0</v>
      </c>
      <c r="H15" s="31">
        <f>IF(COUNTA(date!$B$2:$B$57)&lt;13,"",INDEX(date!G$2:G$57,MATCH(LARGE(date!K$2:K$57,13),date!K$2:K$57,0)))</f>
        <v>0</v>
      </c>
      <c r="I15" s="31">
        <f>IF(COUNTA(date!$B$2:$B$57)&lt;13,"",INDEX(date!H$2:H$57,MATCH(LARGE(date!K$2:K$57,13),date!K$2:K$57,0)))</f>
        <v>0</v>
      </c>
      <c r="J15" s="31">
        <f>IF(COUNTA(date!$B$2:$B$57)&lt;13,"",INDEX(date!I$2:I$57,MATCH(LARGE(date!K$2:K$57,13),date!K$2:K$57,0)))</f>
        <v>0</v>
      </c>
      <c r="K15" s="31">
        <f>IF(COUNTA(date!$B$2:$B$57)&lt;13,"",INDEX(date!J$2:J$57,MATCH(LARGE(date!K$2:K$57,13),date!K$2:K$57,0)))</f>
        <v>0</v>
      </c>
    </row>
    <row r="16" spans="1:11" ht="19.5" customHeight="1">
      <c r="A16" s="11"/>
      <c r="B16" s="8">
        <f>IF(COUNTA(date!$B$2:$B$57)&lt;14,"",IFERROR(COUNTIF(date!$K$2:$K$57,"&gt;"&amp;LARGE(date!$K$2:$K$57,14))+1,""))</f>
        <v>14</v>
      </c>
      <c r="C16" s="7" t="str">
        <f>IF(COUNTA(date!$B$2:$B$57)&lt;14,"",INDEX(date!B$2:B$57,MATCH(LARGE(date!K$2:K$57,14),date!K$2:K$57,0)))</f>
        <v>チームD-2</v>
      </c>
      <c r="D16" s="8" t="str">
        <f>IF(COUNTA(date!$B$2:$B$57)&lt;14,"",INDEX(date!C$2:C$57,MATCH(LARGE(date!K$2:K$57,14),date!K$2:K$57,0)))</f>
        <v>Dパート</v>
      </c>
      <c r="E16" s="8">
        <f>IF(COUNTA(date!$B$2:$B$57)&lt;14,"",INDEX(date!D$2:D$57,MATCH(LARGE(date!K$2:K$57,14),date!K$2:K$57,0)))</f>
        <v>0</v>
      </c>
      <c r="F16" s="8">
        <f>IF(COUNTA(date!$B$2:$B$57)&lt;14,"",INDEX(date!E$2:E$57,MATCH(LARGE(date!K$2:K$57,14),date!K$2:K$57,0)))</f>
        <v>0</v>
      </c>
      <c r="G16" s="8">
        <f>IF(COUNTA(date!$B$2:$B$57)&lt;14,"",INDEX(date!F$2:F$57,MATCH(LARGE(date!K$2:K$57,14),date!K$2:K$57,0)))</f>
        <v>0</v>
      </c>
      <c r="H16" s="8">
        <f>IF(COUNTA(date!$B$2:$B$57)&lt;14,"",INDEX(date!G$2:G$57,MATCH(LARGE(date!K$2:K$57,14),date!K$2:K$57,0)))</f>
        <v>0</v>
      </c>
      <c r="I16" s="8">
        <f>IF(COUNTA(date!$B$2:$B$57)&lt;14,"",INDEX(date!H$2:H$57,MATCH(LARGE(date!K$2:K$57,14),date!K$2:K$57,0)))</f>
        <v>0</v>
      </c>
      <c r="J16" s="8">
        <f>IF(COUNTA(date!$B$2:$B$57)&lt;14,"",INDEX(date!I$2:I$57,MATCH(LARGE(date!K$2:K$57,14),date!K$2:K$57,0)))</f>
        <v>0</v>
      </c>
      <c r="K16" s="8">
        <f>IF(COUNTA(date!$B$2:$B$57)&lt;14,"",INDEX(date!J$2:J$57,MATCH(LARGE(date!K$2:K$57,14),date!K$2:K$57,0)))</f>
        <v>0</v>
      </c>
    </row>
    <row r="17" spans="1:11" ht="19.5" customHeight="1">
      <c r="A17" s="11"/>
      <c r="B17" s="31">
        <f>IF(COUNTA(date!$B$2:$B$57)&lt;15,"",IFERROR(COUNTIF(date!$K$2:$K$57,"&gt;"&amp;LARGE(date!$K$2:$K$57,15))+1,""))</f>
        <v>15</v>
      </c>
      <c r="C17" s="32" t="str">
        <f>IF(COUNTA(date!$B$2:$B$57)&lt;15,"",INDEX(date!B$2:B$57,MATCH(LARGE(date!K$2:K$57,15),date!K$2:K$57,0)))</f>
        <v>チームD-3</v>
      </c>
      <c r="D17" s="31" t="str">
        <f>IF(COUNTA(date!$B$2:$B$57)&lt;15,"",INDEX(date!C$2:C$57,MATCH(LARGE(date!K$2:K$57,15),date!K$2:K$57,0)))</f>
        <v>Dパート</v>
      </c>
      <c r="E17" s="31">
        <f>IF(COUNTA(date!$B$2:$B$57)&lt;15,"",INDEX(date!D$2:D$57,MATCH(LARGE(date!K$2:K$57,15),date!K$2:K$57,0)))</f>
        <v>0</v>
      </c>
      <c r="F17" s="31">
        <f>IF(COUNTA(date!$B$2:$B$57)&lt;15,"",INDEX(date!E$2:E$57,MATCH(LARGE(date!K$2:K$57,15),date!K$2:K$57,0)))</f>
        <v>0</v>
      </c>
      <c r="G17" s="31">
        <f>IF(COUNTA(date!$B$2:$B$57)&lt;15,"",INDEX(date!F$2:F$57,MATCH(LARGE(date!K$2:K$57,15),date!K$2:K$57,0)))</f>
        <v>0</v>
      </c>
      <c r="H17" s="31">
        <f>IF(COUNTA(date!$B$2:$B$57)&lt;15,"",INDEX(date!G$2:G$57,MATCH(LARGE(date!K$2:K$57,15),date!K$2:K$57,0)))</f>
        <v>0</v>
      </c>
      <c r="I17" s="31">
        <f>IF(COUNTA(date!$B$2:$B$57)&lt;15,"",INDEX(date!H$2:H$57,MATCH(LARGE(date!K$2:K$57,15),date!K$2:K$57,0)))</f>
        <v>0</v>
      </c>
      <c r="J17" s="31">
        <f>IF(COUNTA(date!$B$2:$B$57)&lt;15,"",INDEX(date!I$2:I$57,MATCH(LARGE(date!K$2:K$57,15),date!K$2:K$57,0)))</f>
        <v>0</v>
      </c>
      <c r="K17" s="31">
        <f>IF(COUNTA(date!$B$2:$B$57)&lt;15,"",INDEX(date!J$2:J$57,MATCH(LARGE(date!K$2:K$57,15),date!K$2:K$57,0)))</f>
        <v>0</v>
      </c>
    </row>
    <row r="18" spans="1:11" ht="19.5" customHeight="1">
      <c r="A18" s="11"/>
      <c r="B18" s="8">
        <f>IF(COUNTA(date!$B$2:$B$57)&lt;16,"",IFERROR(COUNTIF(date!$K$2:$K$57,"&gt;"&amp;LARGE(date!$K$2:$K$57,16))+1,""))</f>
        <v>16</v>
      </c>
      <c r="C18" s="7" t="str">
        <f>IF(COUNTA(date!$B$2:$B$57)&lt;16,"",INDEX(date!B$2:B$57,MATCH(LARGE(date!K$2:K$57,16),date!K$2:K$57,0)))</f>
        <v>チームD-4</v>
      </c>
      <c r="D18" s="8" t="str">
        <f>IF(COUNTA(date!$B$2:$B$57)&lt;16,"",INDEX(date!C$2:C$57,MATCH(LARGE(date!K$2:K$57,16),date!K$2:K$57,0)))</f>
        <v>Dパート</v>
      </c>
      <c r="E18" s="8">
        <f>IF(COUNTA(date!$B$2:$B$57)&lt;16,"",INDEX(date!D$2:D$57,MATCH(LARGE(date!K$2:K$57,16),date!K$2:K$57,0)))</f>
        <v>0</v>
      </c>
      <c r="F18" s="8">
        <f>IF(COUNTA(date!$B$2:$B$57)&lt;16,"",INDEX(date!E$2:E$57,MATCH(LARGE(date!K$2:K$57,16),date!K$2:K$57,0)))</f>
        <v>0</v>
      </c>
      <c r="G18" s="8">
        <f>IF(COUNTA(date!$B$2:$B$57)&lt;16,"",INDEX(date!F$2:F$57,MATCH(LARGE(date!K$2:K$57,16),date!K$2:K$57,0)))</f>
        <v>0</v>
      </c>
      <c r="H18" s="8">
        <f>IF(COUNTA(date!$B$2:$B$57)&lt;16,"",INDEX(date!G$2:G$57,MATCH(LARGE(date!K$2:K$57,16),date!K$2:K$57,0)))</f>
        <v>0</v>
      </c>
      <c r="I18" s="8">
        <f>IF(COUNTA(date!$B$2:$B$57)&lt;16,"",INDEX(date!H$2:H$57,MATCH(LARGE(date!K$2:K$57,16),date!K$2:K$57,0)))</f>
        <v>0</v>
      </c>
      <c r="J18" s="8">
        <f>IF(COUNTA(date!$B$2:$B$57)&lt;16,"",INDEX(date!I$2:I$57,MATCH(LARGE(date!K$2:K$57,16),date!K$2:K$57,0)))</f>
        <v>0</v>
      </c>
      <c r="K18" s="8">
        <f>IF(COUNTA(date!$B$2:$B$57)&lt;16,"",INDEX(date!J$2:J$57,MATCH(LARGE(date!K$2:K$57,16),date!K$2:K$57,0)))</f>
        <v>0</v>
      </c>
    </row>
    <row r="19" spans="1:11" ht="19.5" customHeight="1">
      <c r="A19" s="11"/>
      <c r="B19" s="31">
        <f>IF(COUNTA(date!$B$2:$B$57)&lt;17,"",IFERROR(COUNTIF(date!$K$2:$K$57,"&gt;"&amp;LARGE(date!$K$2:$K$57,17))+1,""))</f>
        <v>17</v>
      </c>
      <c r="C19" s="32" t="str">
        <f>IF(COUNTA(date!$B$2:$B$57)&lt;17,"",INDEX(date!B$2:B$57,MATCH(LARGE(date!K$2:K$57,17),date!K$2:K$57,0)))</f>
        <v>チームE-1</v>
      </c>
      <c r="D19" s="31" t="str">
        <f>IF(COUNTA(date!$B$2:$B$57)&lt;17,"",INDEX(date!C$2:C$57,MATCH(LARGE(date!K$2:K$57,17),date!K$2:K$57,0)))</f>
        <v>Eパート</v>
      </c>
      <c r="E19" s="31">
        <f>IF(COUNTA(date!$B$2:$B$57)&lt;17,"",INDEX(date!D$2:D$57,MATCH(LARGE(date!K$2:K$57,17),date!K$2:K$57,0)))</f>
        <v>0</v>
      </c>
      <c r="F19" s="31">
        <f>IF(COUNTA(date!$B$2:$B$57)&lt;17,"",INDEX(date!E$2:E$57,MATCH(LARGE(date!K$2:K$57,17),date!K$2:K$57,0)))</f>
        <v>0</v>
      </c>
      <c r="G19" s="31">
        <f>IF(COUNTA(date!$B$2:$B$57)&lt;17,"",INDEX(date!F$2:F$57,MATCH(LARGE(date!K$2:K$57,17),date!K$2:K$57,0)))</f>
        <v>0</v>
      </c>
      <c r="H19" s="31">
        <f>IF(COUNTA(date!$B$2:$B$57)&lt;17,"",INDEX(date!G$2:G$57,MATCH(LARGE(date!K$2:K$57,17),date!K$2:K$57,0)))</f>
        <v>0</v>
      </c>
      <c r="I19" s="31">
        <f>IF(COUNTA(date!$B$2:$B$57)&lt;17,"",INDEX(date!H$2:H$57,MATCH(LARGE(date!K$2:K$57,17),date!K$2:K$57,0)))</f>
        <v>0</v>
      </c>
      <c r="J19" s="31">
        <f>IF(COUNTA(date!$B$2:$B$57)&lt;17,"",INDEX(date!I$2:I$57,MATCH(LARGE(date!K$2:K$57,17),date!K$2:K$57,0)))</f>
        <v>0</v>
      </c>
      <c r="K19" s="31">
        <f>IF(COUNTA(date!$B$2:$B$57)&lt;17,"",INDEX(date!J$2:J$57,MATCH(LARGE(date!K$2:K$57,17),date!K$2:K$57,0)))</f>
        <v>0</v>
      </c>
    </row>
    <row r="20" spans="1:11" ht="19.5" customHeight="1">
      <c r="A20" s="11"/>
      <c r="B20" s="8">
        <f>IF(COUNTA(date!$B$2:$B$57)&lt;18,"",IFERROR(COUNTIF(date!$K$2:$K$57,"&gt;"&amp;LARGE(date!$K$2:$K$57,18))+1,""))</f>
        <v>18</v>
      </c>
      <c r="C20" s="7" t="str">
        <f>IF(COUNTA(date!$B$2:$B$57)&lt;18,"",INDEX(date!B$2:B$57,MATCH(LARGE(date!K$2:K$57,18),date!K$2:K$57,0)))</f>
        <v>チームE-2</v>
      </c>
      <c r="D20" s="8" t="str">
        <f>IF(COUNTA(date!$B$2:$B$57)&lt;18,"",INDEX(date!C$2:C$57,MATCH(LARGE(date!K$2:K$57,18),date!K$2:K$57,0)))</f>
        <v>Eパート</v>
      </c>
      <c r="E20" s="8">
        <f>IF(COUNTA(date!$B$2:$B$57)&lt;18,"",INDEX(date!D$2:D$57,MATCH(LARGE(date!K$2:K$57,18),date!K$2:K$57,0)))</f>
        <v>0</v>
      </c>
      <c r="F20" s="8">
        <f>IF(COUNTA(date!$B$2:$B$57)&lt;18,"",INDEX(date!E$2:E$57,MATCH(LARGE(date!K$2:K$57,18),date!K$2:K$57,0)))</f>
        <v>0</v>
      </c>
      <c r="G20" s="8">
        <f>IF(COUNTA(date!$B$2:$B$57)&lt;18,"",INDEX(date!F$2:F$57,MATCH(LARGE(date!K$2:K$57,18),date!K$2:K$57,0)))</f>
        <v>0</v>
      </c>
      <c r="H20" s="8">
        <f>IF(COUNTA(date!$B$2:$B$57)&lt;18,"",INDEX(date!G$2:G$57,MATCH(LARGE(date!K$2:K$57,18),date!K$2:K$57,0)))</f>
        <v>0</v>
      </c>
      <c r="I20" s="8">
        <f>IF(COUNTA(date!$B$2:$B$57)&lt;18,"",INDEX(date!H$2:H$57,MATCH(LARGE(date!K$2:K$57,18),date!K$2:K$57,0)))</f>
        <v>0</v>
      </c>
      <c r="J20" s="8">
        <f>IF(COUNTA(date!$B$2:$B$57)&lt;18,"",INDEX(date!I$2:I$57,MATCH(LARGE(date!K$2:K$57,18),date!K$2:K$57,0)))</f>
        <v>0</v>
      </c>
      <c r="K20" s="8">
        <f>IF(COUNTA(date!$B$2:$B$57)&lt;18,"",INDEX(date!J$2:J$57,MATCH(LARGE(date!K$2:K$57,18),date!K$2:K$57,0)))</f>
        <v>0</v>
      </c>
    </row>
    <row r="21" spans="1:11" ht="19.5" customHeight="1">
      <c r="A21" s="11"/>
      <c r="B21" s="31">
        <f>IF(COUNTA(date!$B$2:$B$57)&lt;19,"",IFERROR(COUNTIF(date!$K$2:$K$57,"&gt;"&amp;LARGE(date!$K$2:$K$57,19))+1,""))</f>
        <v>19</v>
      </c>
      <c r="C21" s="32" t="str">
        <f>IF(COUNTA(date!$B$2:$B$57)&lt;19,"",INDEX(date!B$2:B$57,MATCH(LARGE(date!K$2:K$57,19),date!K$2:K$57,0)))</f>
        <v>チームE-3</v>
      </c>
      <c r="D21" s="31" t="str">
        <f>IF(COUNTA(date!$B$2:$B$57)&lt;19,"",INDEX(date!C$2:C$57,MATCH(LARGE(date!K$2:K$57,19),date!K$2:K$57,0)))</f>
        <v>Eパート</v>
      </c>
      <c r="E21" s="31">
        <f>IF(COUNTA(date!$B$2:$B$57)&lt;19,"",INDEX(date!D$2:D$57,MATCH(LARGE(date!K$2:K$57,19),date!K$2:K$57,0)))</f>
        <v>0</v>
      </c>
      <c r="F21" s="31">
        <f>IF(COUNTA(date!$B$2:$B$57)&lt;19,"",INDEX(date!E$2:E$57,MATCH(LARGE(date!K$2:K$57,19),date!K$2:K$57,0)))</f>
        <v>0</v>
      </c>
      <c r="G21" s="31">
        <f>IF(COUNTA(date!$B$2:$B$57)&lt;19,"",INDEX(date!F$2:F$57,MATCH(LARGE(date!K$2:K$57,19),date!K$2:K$57,0)))</f>
        <v>0</v>
      </c>
      <c r="H21" s="31">
        <f>IF(COUNTA(date!$B$2:$B$57)&lt;19,"",INDEX(date!G$2:G$57,MATCH(LARGE(date!K$2:K$57,19),date!K$2:K$57,0)))</f>
        <v>0</v>
      </c>
      <c r="I21" s="31">
        <f>IF(COUNTA(date!$B$2:$B$57)&lt;19,"",INDEX(date!H$2:H$57,MATCH(LARGE(date!K$2:K$57,19),date!K$2:K$57,0)))</f>
        <v>0</v>
      </c>
      <c r="J21" s="31">
        <f>IF(COUNTA(date!$B$2:$B$57)&lt;19,"",INDEX(date!I$2:I$57,MATCH(LARGE(date!K$2:K$57,19),date!K$2:K$57,0)))</f>
        <v>0</v>
      </c>
      <c r="K21" s="31">
        <f>IF(COUNTA(date!$B$2:$B$57)&lt;19,"",INDEX(date!J$2:J$57,MATCH(LARGE(date!K$2:K$57,19),date!K$2:K$57,0)))</f>
        <v>0</v>
      </c>
    </row>
    <row r="22" spans="1:11" ht="19.5" customHeight="1">
      <c r="A22" s="11"/>
      <c r="B22" s="8">
        <f>IF(COUNTA(date!$B$2:$B$57)&lt;20,"",IFERROR(COUNTIF(date!$K$2:$K$57,"&gt;"&amp;LARGE(date!$K$2:$K$57,20))+1,""))</f>
        <v>20</v>
      </c>
      <c r="C22" s="7" t="str">
        <f>IF(COUNTA(date!$B$2:$B$57)&lt;20,"",INDEX(date!B$2:B$57,MATCH(LARGE(date!K$2:K$57,20),date!K$2:K$57,0)))</f>
        <v>チームE-4</v>
      </c>
      <c r="D22" s="8" t="str">
        <f>IF(COUNTA(date!$B$2:$B$57)&lt;20,"",INDEX(date!C$2:C$57,MATCH(LARGE(date!K$2:K$57,20),date!K$2:K$57,0)))</f>
        <v>Eパート</v>
      </c>
      <c r="E22" s="8">
        <f>IF(COUNTA(date!$B$2:$B$57)&lt;20,"",INDEX(date!D$2:D$57,MATCH(LARGE(date!K$2:K$57,20),date!K$2:K$57,0)))</f>
        <v>0</v>
      </c>
      <c r="F22" s="8">
        <f>IF(COUNTA(date!$B$2:$B$57)&lt;20,"",INDEX(date!E$2:E$57,MATCH(LARGE(date!K$2:K$57,20),date!K$2:K$57,0)))</f>
        <v>0</v>
      </c>
      <c r="G22" s="8">
        <f>IF(COUNTA(date!$B$2:$B$57)&lt;20,"",INDEX(date!F$2:F$57,MATCH(LARGE(date!K$2:K$57,20),date!K$2:K$57,0)))</f>
        <v>0</v>
      </c>
      <c r="H22" s="8">
        <f>IF(COUNTA(date!$B$2:$B$57)&lt;20,"",INDEX(date!G$2:G$57,MATCH(LARGE(date!K$2:K$57,20),date!K$2:K$57,0)))</f>
        <v>0</v>
      </c>
      <c r="I22" s="8">
        <f>IF(COUNTA(date!$B$2:$B$57)&lt;20,"",INDEX(date!H$2:H$57,MATCH(LARGE(date!K$2:K$57,20),date!K$2:K$57,0)))</f>
        <v>0</v>
      </c>
      <c r="J22" s="8">
        <f>IF(COUNTA(date!$B$2:$B$57)&lt;20,"",INDEX(date!I$2:I$57,MATCH(LARGE(date!K$2:K$57,20),date!K$2:K$57,0)))</f>
        <v>0</v>
      </c>
      <c r="K22" s="8">
        <f>IF(COUNTA(date!$B$2:$B$57)&lt;20,"",INDEX(date!J$2:J$57,MATCH(LARGE(date!K$2:K$57,20),date!K$2:K$57,0)))</f>
        <v>0</v>
      </c>
    </row>
    <row r="23" spans="1:11" ht="19.5" customHeight="1">
      <c r="A23" s="11"/>
      <c r="B23" s="31">
        <f>IF(COUNTA(date!$B$2:$B$57)&lt;21,"",IFERROR(COUNTIF(date!$K$2:$K$57,"&gt;"&amp;LARGE(date!$K$2:$K$57,21))+1,""))</f>
        <v>21</v>
      </c>
      <c r="C23" s="32" t="str">
        <f>IF(COUNTA(date!$B$2:$B$57)&lt;21,"",INDEX(date!B$2:B$57,MATCH(LARGE(date!K$2:K$57,21),date!K$2:K$57,0)))</f>
        <v>チームF-1</v>
      </c>
      <c r="D23" s="31" t="str">
        <f>IF(COUNTA(date!$B$2:$B$57)&lt;21,"",INDEX(date!C$2:C$57,MATCH(LARGE(date!K$2:K$57,21),date!K$2:K$57,0)))</f>
        <v>Fパート</v>
      </c>
      <c r="E23" s="31">
        <f>IF(COUNTA(date!$B$2:$B$57)&lt;21,"",INDEX(date!D$2:D$57,MATCH(LARGE(date!K$2:K$57,21),date!K$2:K$57,0)))</f>
        <v>0</v>
      </c>
      <c r="F23" s="31">
        <f>IF(COUNTA(date!$B$2:$B$57)&lt;21,"",INDEX(date!E$2:E$57,MATCH(LARGE(date!K$2:K$57,21),date!K$2:K$57,0)))</f>
        <v>0</v>
      </c>
      <c r="G23" s="31">
        <f>IF(COUNTA(date!$B$2:$B$57)&lt;21,"",INDEX(date!F$2:F$57,MATCH(LARGE(date!K$2:K$57,21),date!K$2:K$57,0)))</f>
        <v>0</v>
      </c>
      <c r="H23" s="31">
        <f>IF(COUNTA(date!$B$2:$B$57)&lt;21,"",INDEX(date!G$2:G$57,MATCH(LARGE(date!K$2:K$57,21),date!K$2:K$57,0)))</f>
        <v>0</v>
      </c>
      <c r="I23" s="31">
        <f>IF(COUNTA(date!$B$2:$B$57)&lt;21,"",INDEX(date!H$2:H$57,MATCH(LARGE(date!K$2:K$57,21),date!K$2:K$57,0)))</f>
        <v>0</v>
      </c>
      <c r="J23" s="31">
        <f>IF(COUNTA(date!$B$2:$B$57)&lt;21,"",INDEX(date!I$2:I$57,MATCH(LARGE(date!K$2:K$57,21),date!K$2:K$57,0)))</f>
        <v>0</v>
      </c>
      <c r="K23" s="31">
        <f>IF(COUNTA(date!$B$2:$B$57)&lt;21,"",INDEX(date!J$2:J$57,MATCH(LARGE(date!K$2:K$57,21),date!K$2:K$57,0)))</f>
        <v>0</v>
      </c>
    </row>
    <row r="24" spans="1:11" ht="19.5" customHeight="1">
      <c r="A24" s="11"/>
      <c r="B24" s="8">
        <f>IF(COUNTA(date!$B$2:$B$57)&lt;22,"",IFERROR(COUNTIF(date!$K$2:$K$57,"&gt;"&amp;LARGE(date!$K$2:$K$57,22))+1,""))</f>
        <v>22</v>
      </c>
      <c r="C24" s="7" t="str">
        <f>IF(COUNTA(date!$B$2:$B$57)&lt;22,"",INDEX(date!B$2:B$57,MATCH(LARGE(date!K$2:K$57,22),date!K$2:K$57,0)))</f>
        <v>チームF-2</v>
      </c>
      <c r="D24" s="8" t="str">
        <f>IF(COUNTA(date!$B$2:$B$57)&lt;22,"",INDEX(date!C$2:C$57,MATCH(LARGE(date!K$2:K$57,22),date!K$2:K$57,0)))</f>
        <v>Fパート</v>
      </c>
      <c r="E24" s="8">
        <f>IF(COUNTA(date!$B$2:$B$57)&lt;22,"",INDEX(date!D$2:D$57,MATCH(LARGE(date!K$2:K$57,22),date!K$2:K$57,0)))</f>
        <v>0</v>
      </c>
      <c r="F24" s="8">
        <f>IF(COUNTA(date!$B$2:$B$57)&lt;22,"",INDEX(date!E$2:E$57,MATCH(LARGE(date!K$2:K$57,22),date!K$2:K$57,0)))</f>
        <v>0</v>
      </c>
      <c r="G24" s="8">
        <f>IF(COUNTA(date!$B$2:$B$57)&lt;22,"",INDEX(date!F$2:F$57,MATCH(LARGE(date!K$2:K$57,22),date!K$2:K$57,0)))</f>
        <v>0</v>
      </c>
      <c r="H24" s="8">
        <f>IF(COUNTA(date!$B$2:$B$57)&lt;22,"",INDEX(date!G$2:G$57,MATCH(LARGE(date!K$2:K$57,22),date!K$2:K$57,0)))</f>
        <v>0</v>
      </c>
      <c r="I24" s="8">
        <f>IF(COUNTA(date!$B$2:$B$57)&lt;22,"",INDEX(date!H$2:H$57,MATCH(LARGE(date!K$2:K$57,22),date!K$2:K$57,0)))</f>
        <v>0</v>
      </c>
      <c r="J24" s="8">
        <f>IF(COUNTA(date!$B$2:$B$57)&lt;22,"",INDEX(date!I$2:I$57,MATCH(LARGE(date!K$2:K$57,22),date!K$2:K$57,0)))</f>
        <v>0</v>
      </c>
      <c r="K24" s="8">
        <f>IF(COUNTA(date!$B$2:$B$57)&lt;22,"",INDEX(date!J$2:J$57,MATCH(LARGE(date!K$2:K$57,22),date!K$2:K$57,0)))</f>
        <v>0</v>
      </c>
    </row>
    <row r="25" spans="1:11" ht="19.5" customHeight="1">
      <c r="A25" s="11"/>
      <c r="B25" s="31">
        <f>IF(COUNTA(date!$B$2:$B$57)&lt;23,"",IFERROR(COUNTIF(date!$K$2:$K$57,"&gt;"&amp;LARGE(date!$K$2:$K$57,23))+1,""))</f>
        <v>23</v>
      </c>
      <c r="C25" s="32" t="str">
        <f>IF(COUNTA(date!$B$2:$B$57)&lt;23,"",INDEX(date!B$2:B$57,MATCH(LARGE(date!K$2:K$57,23),date!K$2:K$57,0)))</f>
        <v>チームF-3</v>
      </c>
      <c r="D25" s="31" t="str">
        <f>IF(COUNTA(date!$B$2:$B$57)&lt;23,"",INDEX(date!C$2:C$57,MATCH(LARGE(date!K$2:K$57,23),date!K$2:K$57,0)))</f>
        <v>Fパート</v>
      </c>
      <c r="E25" s="31">
        <f>IF(COUNTA(date!$B$2:$B$57)&lt;23,"",INDEX(date!D$2:D$57,MATCH(LARGE(date!K$2:K$57,23),date!K$2:K$57,0)))</f>
        <v>0</v>
      </c>
      <c r="F25" s="31">
        <f>IF(COUNTA(date!$B$2:$B$57)&lt;23,"",INDEX(date!E$2:E$57,MATCH(LARGE(date!K$2:K$57,23),date!K$2:K$57,0)))</f>
        <v>0</v>
      </c>
      <c r="G25" s="31">
        <f>IF(COUNTA(date!$B$2:$B$57)&lt;23,"",INDEX(date!F$2:F$57,MATCH(LARGE(date!K$2:K$57,23),date!K$2:K$57,0)))</f>
        <v>0</v>
      </c>
      <c r="H25" s="31">
        <f>IF(COUNTA(date!$B$2:$B$57)&lt;23,"",INDEX(date!G$2:G$57,MATCH(LARGE(date!K$2:K$57,23),date!K$2:K$57,0)))</f>
        <v>0</v>
      </c>
      <c r="I25" s="31">
        <f>IF(COUNTA(date!$B$2:$B$57)&lt;23,"",INDEX(date!H$2:H$57,MATCH(LARGE(date!K$2:K$57,23),date!K$2:K$57,0)))</f>
        <v>0</v>
      </c>
      <c r="J25" s="31">
        <f>IF(COUNTA(date!$B$2:$B$57)&lt;23,"",INDEX(date!I$2:I$57,MATCH(LARGE(date!K$2:K$57,23),date!K$2:K$57,0)))</f>
        <v>0</v>
      </c>
      <c r="K25" s="31">
        <f>IF(COUNTA(date!$B$2:$B$57)&lt;23,"",INDEX(date!J$2:J$57,MATCH(LARGE(date!K$2:K$57,23),date!K$2:K$57,0)))</f>
        <v>0</v>
      </c>
    </row>
    <row r="26" spans="1:11" ht="19.5" customHeight="1">
      <c r="A26" s="11"/>
      <c r="B26" s="8">
        <f>IF(COUNTA(date!$B$2:$B$57)&lt;24,"",IFERROR(COUNTIF(date!$K$2:$K$57,"&gt;"&amp;LARGE(date!$K$2:$K$57,24))+1,""))</f>
        <v>24</v>
      </c>
      <c r="C26" s="7" t="str">
        <f>IF(COUNTA(date!$B$2:$B$57)&lt;24,"",INDEX(date!B$2:B$57,MATCH(LARGE(date!K$2:K$57,24),date!K$2:K$57,0)))</f>
        <v>チームF-4</v>
      </c>
      <c r="D26" s="8" t="str">
        <f>IF(COUNTA(date!$B$2:$B$57)&lt;24,"",INDEX(date!C$2:C$57,MATCH(LARGE(date!K$2:K$57,24),date!K$2:K$57,0)))</f>
        <v>Fパート</v>
      </c>
      <c r="E26" s="8">
        <f>IF(COUNTA(date!$B$2:$B$57)&lt;24,"",INDEX(date!D$2:D$57,MATCH(LARGE(date!K$2:K$57,24),date!K$2:K$57,0)))</f>
        <v>0</v>
      </c>
      <c r="F26" s="8">
        <f>IF(COUNTA(date!$B$2:$B$57)&lt;24,"",INDEX(date!E$2:E$57,MATCH(LARGE(date!K$2:K$57,24),date!K$2:K$57,0)))</f>
        <v>0</v>
      </c>
      <c r="G26" s="8">
        <f>IF(COUNTA(date!$B$2:$B$57)&lt;24,"",INDEX(date!F$2:F$57,MATCH(LARGE(date!K$2:K$57,24),date!K$2:K$57,0)))</f>
        <v>0</v>
      </c>
      <c r="H26" s="8">
        <f>IF(COUNTA(date!$B$2:$B$57)&lt;24,"",INDEX(date!G$2:G$57,MATCH(LARGE(date!K$2:K$57,24),date!K$2:K$57,0)))</f>
        <v>0</v>
      </c>
      <c r="I26" s="8">
        <f>IF(COUNTA(date!$B$2:$B$57)&lt;24,"",INDEX(date!H$2:H$57,MATCH(LARGE(date!K$2:K$57,24),date!K$2:K$57,0)))</f>
        <v>0</v>
      </c>
      <c r="J26" s="8">
        <f>IF(COUNTA(date!$B$2:$B$57)&lt;24,"",INDEX(date!I$2:I$57,MATCH(LARGE(date!K$2:K$57,24),date!K$2:K$57,0)))</f>
        <v>0</v>
      </c>
      <c r="K26" s="8">
        <f>IF(COUNTA(date!$B$2:$B$57)&lt;24,"",INDEX(date!J$2:J$57,MATCH(LARGE(date!K$2:K$57,24),date!K$2:K$57,0)))</f>
        <v>0</v>
      </c>
    </row>
    <row r="27" spans="1:11" ht="19.5" customHeight="1">
      <c r="A27" s="11"/>
      <c r="B27" s="31">
        <f>IF(COUNTA(date!$B$2:$B$57)&lt;25,"",IFERROR(COUNTIF(date!$K$2:$K$57,"&gt;"&amp;LARGE(date!$K$2:$K$57,25))+1,""))</f>
        <v>25</v>
      </c>
      <c r="C27" s="32" t="str">
        <f>IF(COUNTA(date!$B$2:$B$57)&lt;25,"",INDEX(date!B$2:B$57,MATCH(LARGE(date!K$2:K$57,25),date!K$2:K$57,0)))</f>
        <v>チームG-1</v>
      </c>
      <c r="D27" s="31" t="str">
        <f>IF(COUNTA(date!$B$2:$B$57)&lt;25,"",INDEX(date!C$2:C$57,MATCH(LARGE(date!K$2:K$57,25),date!K$2:K$57,0)))</f>
        <v>Gパート</v>
      </c>
      <c r="E27" s="31">
        <f>IF(COUNTA(date!$B$2:$B$57)&lt;25,"",INDEX(date!D$2:D$57,MATCH(LARGE(date!K$2:K$57,25),date!K$2:K$57,0)))</f>
        <v>0</v>
      </c>
      <c r="F27" s="31">
        <f>IF(COUNTA(date!$B$2:$B$57)&lt;25,"",INDEX(date!E$2:E$57,MATCH(LARGE(date!K$2:K$57,25),date!K$2:K$57,0)))</f>
        <v>0</v>
      </c>
      <c r="G27" s="31">
        <f>IF(COUNTA(date!$B$2:$B$57)&lt;25,"",INDEX(date!F$2:F$57,MATCH(LARGE(date!K$2:K$57,25),date!K$2:K$57,0)))</f>
        <v>0</v>
      </c>
      <c r="H27" s="31">
        <f>IF(COUNTA(date!$B$2:$B$57)&lt;25,"",INDEX(date!G$2:G$57,MATCH(LARGE(date!K$2:K$57,25),date!K$2:K$57,0)))</f>
        <v>0</v>
      </c>
      <c r="I27" s="31">
        <f>IF(COUNTA(date!$B$2:$B$57)&lt;25,"",INDEX(date!H$2:H$57,MATCH(LARGE(date!K$2:K$57,25),date!K$2:K$57,0)))</f>
        <v>0</v>
      </c>
      <c r="J27" s="31">
        <f>IF(COUNTA(date!$B$2:$B$57)&lt;25,"",INDEX(date!I$2:I$57,MATCH(LARGE(date!K$2:K$57,25),date!K$2:K$57,0)))</f>
        <v>0</v>
      </c>
      <c r="K27" s="31">
        <f>IF(COUNTA(date!$B$2:$B$57)&lt;25,"",INDEX(date!J$2:J$57,MATCH(LARGE(date!K$2:K$57,25),date!K$2:K$57,0)))</f>
        <v>0</v>
      </c>
    </row>
    <row r="28" spans="1:11" ht="19.5" customHeight="1">
      <c r="A28" s="11"/>
      <c r="B28" s="8">
        <f>IF(COUNTA(date!$B$2:$B$57)&lt;26,"",IFERROR(COUNTIF(date!$K$2:$K$57,"&gt;"&amp;LARGE(date!$K$2:$K$57,26))+1,""))</f>
        <v>26</v>
      </c>
      <c r="C28" s="7" t="str">
        <f>IF(COUNTA(date!$B$2:$B$57)&lt;26,"",INDEX(date!B$2:B$57,MATCH(LARGE(date!K$2:K$57,26),date!K$2:K$57,0)))</f>
        <v>チームG-2</v>
      </c>
      <c r="D28" s="8" t="str">
        <f>IF(COUNTA(date!$B$2:$B$57)&lt;26,"",INDEX(date!C$2:C$57,MATCH(LARGE(date!K$2:K$57,26),date!K$2:K$57,0)))</f>
        <v>Gパート</v>
      </c>
      <c r="E28" s="8">
        <f>IF(COUNTA(date!$B$2:$B$57)&lt;26,"",INDEX(date!D$2:D$57,MATCH(LARGE(date!K$2:K$57,26),date!K$2:K$57,0)))</f>
        <v>0</v>
      </c>
      <c r="F28" s="8">
        <f>IF(COUNTA(date!$B$2:$B$57)&lt;26,"",INDEX(date!E$2:E$57,MATCH(LARGE(date!K$2:K$57,26),date!K$2:K$57,0)))</f>
        <v>0</v>
      </c>
      <c r="G28" s="8">
        <f>IF(COUNTA(date!$B$2:$B$57)&lt;26,"",INDEX(date!F$2:F$57,MATCH(LARGE(date!K$2:K$57,26),date!K$2:K$57,0)))</f>
        <v>0</v>
      </c>
      <c r="H28" s="8">
        <f>IF(COUNTA(date!$B$2:$B$57)&lt;26,"",INDEX(date!G$2:G$57,MATCH(LARGE(date!K$2:K$57,26),date!K$2:K$57,0)))</f>
        <v>0</v>
      </c>
      <c r="I28" s="8">
        <f>IF(COUNTA(date!$B$2:$B$57)&lt;26,"",INDEX(date!H$2:H$57,MATCH(LARGE(date!K$2:K$57,26),date!K$2:K$57,0)))</f>
        <v>0</v>
      </c>
      <c r="J28" s="8">
        <f>IF(COUNTA(date!$B$2:$B$57)&lt;26,"",INDEX(date!I$2:I$57,MATCH(LARGE(date!K$2:K$57,26),date!K$2:K$57,0)))</f>
        <v>0</v>
      </c>
      <c r="K28" s="8">
        <f>IF(COUNTA(date!$B$2:$B$57)&lt;26,"",INDEX(date!J$2:J$57,MATCH(LARGE(date!K$2:K$57,26),date!K$2:K$57,0)))</f>
        <v>0</v>
      </c>
    </row>
    <row r="29" spans="1:11" ht="19.5" customHeight="1">
      <c r="A29" s="11"/>
      <c r="B29" s="31">
        <f>IF(COUNTA(date!$B$2:$B$57)&lt;27,"",IFERROR(COUNTIF(date!$K$2:$K$57,"&gt;"&amp;LARGE(date!$K$2:$K$57,27))+1,""))</f>
        <v>27</v>
      </c>
      <c r="C29" s="32" t="str">
        <f>IF(COUNTA(date!$B$2:$B$57)&lt;27,"",INDEX(date!B$2:B$57,MATCH(LARGE(date!K$2:K$57,27),date!K$2:K$57,0)))</f>
        <v>チームG-3</v>
      </c>
      <c r="D29" s="31" t="str">
        <f>IF(COUNTA(date!$B$2:$B$57)&lt;27,"",INDEX(date!C$2:C$57,MATCH(LARGE(date!K$2:K$57,27),date!K$2:K$57,0)))</f>
        <v>Gパート</v>
      </c>
      <c r="E29" s="31">
        <f>IF(COUNTA(date!$B$2:$B$57)&lt;27,"",INDEX(date!D$2:D$57,MATCH(LARGE(date!K$2:K$57,27),date!K$2:K$57,0)))</f>
        <v>0</v>
      </c>
      <c r="F29" s="31">
        <f>IF(COUNTA(date!$B$2:$B$57)&lt;27,"",INDEX(date!E$2:E$57,MATCH(LARGE(date!K$2:K$57,27),date!K$2:K$57,0)))</f>
        <v>0</v>
      </c>
      <c r="G29" s="31">
        <f>IF(COUNTA(date!$B$2:$B$57)&lt;27,"",INDEX(date!F$2:F$57,MATCH(LARGE(date!K$2:K$57,27),date!K$2:K$57,0)))</f>
        <v>0</v>
      </c>
      <c r="H29" s="31">
        <f>IF(COUNTA(date!$B$2:$B$57)&lt;27,"",INDEX(date!G$2:G$57,MATCH(LARGE(date!K$2:K$57,27),date!K$2:K$57,0)))</f>
        <v>0</v>
      </c>
      <c r="I29" s="31">
        <f>IF(COUNTA(date!$B$2:$B$57)&lt;27,"",INDEX(date!H$2:H$57,MATCH(LARGE(date!K$2:K$57,27),date!K$2:K$57,0)))</f>
        <v>0</v>
      </c>
      <c r="J29" s="31">
        <f>IF(COUNTA(date!$B$2:$B$57)&lt;27,"",INDEX(date!I$2:I$57,MATCH(LARGE(date!K$2:K$57,27),date!K$2:K$57,0)))</f>
        <v>0</v>
      </c>
      <c r="K29" s="31">
        <f>IF(COUNTA(date!$B$2:$B$57)&lt;27,"",INDEX(date!J$2:J$57,MATCH(LARGE(date!K$2:K$57,27),date!K$2:K$57,0)))</f>
        <v>0</v>
      </c>
    </row>
    <row r="30" spans="1:11" ht="19.5" customHeight="1">
      <c r="A30" s="11"/>
      <c r="B30" s="8">
        <f>IF(COUNTA(date!$B$2:$B$57)&lt;28,"",IFERROR(COUNTIF(date!$K$2:$K$57,"&gt;"&amp;LARGE(date!$K$2:$K$57,28))+1,""))</f>
        <v>28</v>
      </c>
      <c r="C30" s="7" t="str">
        <f>IF(COUNTA(date!$B$2:$B$57)&lt;28,"",INDEX(date!B$2:B$57,MATCH(LARGE(date!K$2:K$57,28),date!K$2:K$57,0)))</f>
        <v>チームG-4</v>
      </c>
      <c r="D30" s="8" t="str">
        <f>IF(COUNTA(date!$B$2:$B$57)&lt;28,"",INDEX(date!C$2:C$57,MATCH(LARGE(date!K$2:K$57,28),date!K$2:K$57,0)))</f>
        <v>Gパート</v>
      </c>
      <c r="E30" s="8">
        <f>IF(COUNTA(date!$B$2:$B$57)&lt;28,"",INDEX(date!D$2:D$57,MATCH(LARGE(date!K$2:K$57,28),date!K$2:K$57,0)))</f>
        <v>0</v>
      </c>
      <c r="F30" s="8">
        <f>IF(COUNTA(date!$B$2:$B$57)&lt;28,"",INDEX(date!E$2:E$57,MATCH(LARGE(date!K$2:K$57,28),date!K$2:K$57,0)))</f>
        <v>0</v>
      </c>
      <c r="G30" s="8">
        <f>IF(COUNTA(date!$B$2:$B$57)&lt;28,"",INDEX(date!F$2:F$57,MATCH(LARGE(date!K$2:K$57,28),date!K$2:K$57,0)))</f>
        <v>0</v>
      </c>
      <c r="H30" s="8">
        <f>IF(COUNTA(date!$B$2:$B$57)&lt;28,"",INDEX(date!G$2:G$57,MATCH(LARGE(date!K$2:K$57,28),date!K$2:K$57,0)))</f>
        <v>0</v>
      </c>
      <c r="I30" s="8">
        <f>IF(COUNTA(date!$B$2:$B$57)&lt;28,"",INDEX(date!H$2:H$57,MATCH(LARGE(date!K$2:K$57,28),date!K$2:K$57,0)))</f>
        <v>0</v>
      </c>
      <c r="J30" s="8">
        <f>IF(COUNTA(date!$B$2:$B$57)&lt;28,"",INDEX(date!I$2:I$57,MATCH(LARGE(date!K$2:K$57,28),date!K$2:K$57,0)))</f>
        <v>0</v>
      </c>
      <c r="K30" s="8">
        <f>IF(COUNTA(date!$B$2:$B$57)&lt;28,"",INDEX(date!J$2:J$57,MATCH(LARGE(date!K$2:K$57,28),date!K$2:K$57,0)))</f>
        <v>0</v>
      </c>
    </row>
    <row r="31" spans="1:11" ht="19.5" customHeight="1">
      <c r="A31" s="11"/>
      <c r="B31" s="31">
        <f>IF(COUNTA(date!$B$2:$B$57)&lt;29,"",IFERROR(COUNTIF(date!$K$2:$K$57,"&gt;"&amp;LARGE(date!$K$2:$K$57,29))+1,""))</f>
        <v>29</v>
      </c>
      <c r="C31" s="32" t="str">
        <f>IF(COUNTA(date!$B$2:$B$57)&lt;29,"",INDEX(date!B$2:B$57,MATCH(LARGE(date!K$2:K$57,29),date!K$2:K$57,0)))</f>
        <v>チームH-1</v>
      </c>
      <c r="D31" s="31" t="str">
        <f>IF(COUNTA(date!$B$2:$B$57)&lt;29,"",INDEX(date!C$2:C$57,MATCH(LARGE(date!K$2:K$57,29),date!K$2:K$57,0)))</f>
        <v>Hパート</v>
      </c>
      <c r="E31" s="31">
        <f>IF(COUNTA(date!$B$2:$B$57)&lt;29,"",INDEX(date!D$2:D$57,MATCH(LARGE(date!K$2:K$57,29),date!K$2:K$57,0)))</f>
        <v>0</v>
      </c>
      <c r="F31" s="31">
        <f>IF(COUNTA(date!$B$2:$B$57)&lt;29,"",INDEX(date!E$2:E$57,MATCH(LARGE(date!K$2:K$57,29),date!K$2:K$57,0)))</f>
        <v>0</v>
      </c>
      <c r="G31" s="31">
        <f>IF(COUNTA(date!$B$2:$B$57)&lt;29,"",INDEX(date!F$2:F$57,MATCH(LARGE(date!K$2:K$57,29),date!K$2:K$57,0)))</f>
        <v>0</v>
      </c>
      <c r="H31" s="31">
        <f>IF(COUNTA(date!$B$2:$B$57)&lt;29,"",INDEX(date!G$2:G$57,MATCH(LARGE(date!K$2:K$57,29),date!K$2:K$57,0)))</f>
        <v>0</v>
      </c>
      <c r="I31" s="31">
        <f>IF(COUNTA(date!$B$2:$B$57)&lt;29,"",INDEX(date!H$2:H$57,MATCH(LARGE(date!K$2:K$57,29),date!K$2:K$57,0)))</f>
        <v>0</v>
      </c>
      <c r="J31" s="31">
        <f>IF(COUNTA(date!$B$2:$B$57)&lt;29,"",INDEX(date!I$2:I$57,MATCH(LARGE(date!K$2:K$57,29),date!K$2:K$57,0)))</f>
        <v>0</v>
      </c>
      <c r="K31" s="31">
        <f>IF(COUNTA(date!$B$2:$B$57)&lt;29,"",INDEX(date!J$2:J$57,MATCH(LARGE(date!K$2:K$57,29),date!K$2:K$57,0)))</f>
        <v>0</v>
      </c>
    </row>
    <row r="32" spans="1:11" ht="19.5" customHeight="1">
      <c r="A32" s="11"/>
      <c r="B32" s="8">
        <f>IF(COUNTA(date!$B$2:$B$57)&lt;30,"",IFERROR(COUNTIF(date!$K$2:$K$57,"&gt;"&amp;LARGE(date!$K$2:$K$57,30))+1,""))</f>
        <v>30</v>
      </c>
      <c r="C32" s="7" t="str">
        <f>IF(COUNTA(date!$B$2:$B$57)&lt;30,"",INDEX(date!B$2:B$57,MATCH(LARGE(date!K$2:K$57,30),date!K$2:K$57,0)))</f>
        <v>チームH-2</v>
      </c>
      <c r="D32" s="8" t="str">
        <f>IF(COUNTA(date!$B$2:$B$57)&lt;30,"",INDEX(date!C$2:C$57,MATCH(LARGE(date!K$2:K$57,30),date!K$2:K$57,0)))</f>
        <v>Hパート</v>
      </c>
      <c r="E32" s="8">
        <f>IF(COUNTA(date!$B$2:$B$57)&lt;30,"",INDEX(date!D$2:D$57,MATCH(LARGE(date!K$2:K$57,30),date!K$2:K$57,0)))</f>
        <v>0</v>
      </c>
      <c r="F32" s="8">
        <f>IF(COUNTA(date!$B$2:$B$57)&lt;30,"",INDEX(date!E$2:E$57,MATCH(LARGE(date!K$2:K$57,30),date!K$2:K$57,0)))</f>
        <v>0</v>
      </c>
      <c r="G32" s="8">
        <f>IF(COUNTA(date!$B$2:$B$57)&lt;30,"",INDEX(date!F$2:F$57,MATCH(LARGE(date!K$2:K$57,30),date!K$2:K$57,0)))</f>
        <v>0</v>
      </c>
      <c r="H32" s="8">
        <f>IF(COUNTA(date!$B$2:$B$57)&lt;30,"",INDEX(date!G$2:G$57,MATCH(LARGE(date!K$2:K$57,30),date!K$2:K$57,0)))</f>
        <v>0</v>
      </c>
      <c r="I32" s="8">
        <f>IF(COUNTA(date!$B$2:$B$57)&lt;30,"",INDEX(date!H$2:H$57,MATCH(LARGE(date!K$2:K$57,30),date!K$2:K$57,0)))</f>
        <v>0</v>
      </c>
      <c r="J32" s="8">
        <f>IF(COUNTA(date!$B$2:$B$57)&lt;30,"",INDEX(date!I$2:I$57,MATCH(LARGE(date!K$2:K$57,30),date!K$2:K$57,0)))</f>
        <v>0</v>
      </c>
      <c r="K32" s="8">
        <f>IF(COUNTA(date!$B$2:$B$57)&lt;30,"",INDEX(date!J$2:J$57,MATCH(LARGE(date!K$2:K$57,30),date!K$2:K$57,0)))</f>
        <v>0</v>
      </c>
    </row>
    <row r="33" spans="1:11" ht="19.5" customHeight="1">
      <c r="A33" s="11"/>
      <c r="B33" s="31">
        <f>IF(COUNTA(date!$B$2:$B$57)&lt;31,"",IFERROR(COUNTIF(date!$K$2:$K$57,"&gt;"&amp;LARGE(date!$K$2:$K$57,31))+1,""))</f>
        <v>31</v>
      </c>
      <c r="C33" s="32" t="str">
        <f>IF(COUNTA(date!$B$2:$B$57)&lt;31,"",INDEX(date!B$2:B$57,MATCH(LARGE(date!K$2:K$57,31),date!K$2:K$57,0)))</f>
        <v>チームH-3</v>
      </c>
      <c r="D33" s="31" t="str">
        <f>IF(COUNTA(date!$B$2:$B$57)&lt;31,"",INDEX(date!C$2:C$57,MATCH(LARGE(date!K$2:K$57,31),date!K$2:K$57,0)))</f>
        <v>Hパート</v>
      </c>
      <c r="E33" s="31">
        <f>IF(COUNTA(date!$B$2:$B$57)&lt;31,"",INDEX(date!D$2:D$57,MATCH(LARGE(date!K$2:K$57,31),date!K$2:K$57,0)))</f>
        <v>0</v>
      </c>
      <c r="F33" s="31">
        <f>IF(COUNTA(date!$B$2:$B$57)&lt;31,"",INDEX(date!E$2:E$57,MATCH(LARGE(date!K$2:K$57,31),date!K$2:K$57,0)))</f>
        <v>0</v>
      </c>
      <c r="G33" s="31">
        <f>IF(COUNTA(date!$B$2:$B$57)&lt;31,"",INDEX(date!F$2:F$57,MATCH(LARGE(date!K$2:K$57,31),date!K$2:K$57,0)))</f>
        <v>0</v>
      </c>
      <c r="H33" s="31">
        <f>IF(COUNTA(date!$B$2:$B$57)&lt;31,"",INDEX(date!G$2:G$57,MATCH(LARGE(date!K$2:K$57,31),date!K$2:K$57,0)))</f>
        <v>0</v>
      </c>
      <c r="I33" s="31">
        <f>IF(COUNTA(date!$B$2:$B$57)&lt;31,"",INDEX(date!H$2:H$57,MATCH(LARGE(date!K$2:K$57,31),date!K$2:K$57,0)))</f>
        <v>0</v>
      </c>
      <c r="J33" s="31">
        <f>IF(COUNTA(date!$B$2:$B$57)&lt;31,"",INDEX(date!I$2:I$57,MATCH(LARGE(date!K$2:K$57,31),date!K$2:K$57,0)))</f>
        <v>0</v>
      </c>
      <c r="K33" s="31">
        <f>IF(COUNTA(date!$B$2:$B$57)&lt;31,"",INDEX(date!J$2:J$57,MATCH(LARGE(date!K$2:K$57,31),date!K$2:K$57,0)))</f>
        <v>0</v>
      </c>
    </row>
    <row r="34" spans="1:11" ht="19.5" customHeight="1">
      <c r="A34" s="11"/>
      <c r="B34" s="8">
        <f>IF(COUNTA(date!$B$2:$B$57)&lt;32,"",IFERROR(COUNTIF(date!$K$2:$K$57,"&gt;"&amp;LARGE(date!$K$2:$K$57,32))+1,""))</f>
        <v>32</v>
      </c>
      <c r="C34" s="7" t="str">
        <f>IF(COUNTA(date!$B$2:$B$57)&lt;32,"",INDEX(date!B$2:B$57,MATCH(LARGE(date!K$2:K$57,32),date!K$2:K$57,0)))</f>
        <v>チームH-4</v>
      </c>
      <c r="D34" s="8" t="str">
        <f>IF(COUNTA(date!$B$2:$B$57)&lt;32,"",INDEX(date!C$2:C$57,MATCH(LARGE(date!K$2:K$57,32),date!K$2:K$57,0)))</f>
        <v>Hパート</v>
      </c>
      <c r="E34" s="8">
        <f>IF(COUNTA(date!$B$2:$B$57)&lt;32,"",INDEX(date!D$2:D$57,MATCH(LARGE(date!K$2:K$57,32),date!K$2:K$57,0)))</f>
        <v>0</v>
      </c>
      <c r="F34" s="8">
        <f>IF(COUNTA(date!$B$2:$B$57)&lt;32,"",INDEX(date!E$2:E$57,MATCH(LARGE(date!K$2:K$57,32),date!K$2:K$57,0)))</f>
        <v>0</v>
      </c>
      <c r="G34" s="8">
        <f>IF(COUNTA(date!$B$2:$B$57)&lt;32,"",INDEX(date!F$2:F$57,MATCH(LARGE(date!K$2:K$57,32),date!K$2:K$57,0)))</f>
        <v>0</v>
      </c>
      <c r="H34" s="8">
        <f>IF(COUNTA(date!$B$2:$B$57)&lt;32,"",INDEX(date!G$2:G$57,MATCH(LARGE(date!K$2:K$57,32),date!K$2:K$57,0)))</f>
        <v>0</v>
      </c>
      <c r="I34" s="8">
        <f>IF(COUNTA(date!$B$2:$B$57)&lt;32,"",INDEX(date!H$2:H$57,MATCH(LARGE(date!K$2:K$57,32),date!K$2:K$57,0)))</f>
        <v>0</v>
      </c>
      <c r="J34" s="8">
        <f>IF(COUNTA(date!$B$2:$B$57)&lt;32,"",INDEX(date!I$2:I$57,MATCH(LARGE(date!K$2:K$57,32),date!K$2:K$57,0)))</f>
        <v>0</v>
      </c>
      <c r="K34" s="8">
        <f>IF(COUNTA(date!$B$2:$B$57)&lt;32,"",INDEX(date!J$2:J$57,MATCH(LARGE(date!K$2:K$57,32),date!K$2:K$57,0)))</f>
        <v>0</v>
      </c>
    </row>
    <row r="35" spans="1:11" ht="19.5" customHeight="1">
      <c r="A35" s="11"/>
      <c r="B35" s="31">
        <f>IF(COUNTA(date!$B$2:$B$57)&lt;33,"",IFERROR(COUNTIF(date!$K$2:$K$57,"&gt;"&amp;LARGE(date!$K$2:$K$57,33))+1,""))</f>
        <v>33</v>
      </c>
      <c r="C35" s="32" t="str">
        <f>IF(COUNTA(date!$B$2:$B$57)&lt;33,"",INDEX(date!B$2:B$57,MATCH(LARGE(date!K$2:K$57,33),date!K$2:K$57,0)))</f>
        <v>チームI-1</v>
      </c>
      <c r="D35" s="31" t="str">
        <f>IF(COUNTA(date!$B$2:$B$57)&lt;33,"",INDEX(date!C$2:C$57,MATCH(LARGE(date!K$2:K$57,33),date!K$2:K$57,0)))</f>
        <v>Iパート</v>
      </c>
      <c r="E35" s="31">
        <f>IF(COUNTA(date!$B$2:$B$57)&lt;33,"",INDEX(date!D$2:D$57,MATCH(LARGE(date!K$2:K$57,33),date!K$2:K$57,0)))</f>
        <v>0</v>
      </c>
      <c r="F35" s="31">
        <f>IF(COUNTA(date!$B$2:$B$57)&lt;33,"",INDEX(date!E$2:E$57,MATCH(LARGE(date!K$2:K$57,33),date!K$2:K$57,0)))</f>
        <v>0</v>
      </c>
      <c r="G35" s="31">
        <f>IF(COUNTA(date!$B$2:$B$57)&lt;33,"",INDEX(date!F$2:F$57,MATCH(LARGE(date!K$2:K$57,33),date!K$2:K$57,0)))</f>
        <v>0</v>
      </c>
      <c r="H35" s="31">
        <f>IF(COUNTA(date!$B$2:$B$57)&lt;33,"",INDEX(date!G$2:G$57,MATCH(LARGE(date!K$2:K$57,33),date!K$2:K$57,0)))</f>
        <v>0</v>
      </c>
      <c r="I35" s="31">
        <f>IF(COUNTA(date!$B$2:$B$57)&lt;33,"",INDEX(date!H$2:H$57,MATCH(LARGE(date!K$2:K$57,33),date!K$2:K$57,0)))</f>
        <v>0</v>
      </c>
      <c r="J35" s="31">
        <f>IF(COUNTA(date!$B$2:$B$57)&lt;33,"",INDEX(date!I$2:I$57,MATCH(LARGE(date!K$2:K$57,33),date!K$2:K$57,0)))</f>
        <v>0</v>
      </c>
      <c r="K35" s="31">
        <f>IF(COUNTA(date!$B$2:$B$57)&lt;33,"",INDEX(date!J$2:J$57,MATCH(LARGE(date!K$2:K$57,33),date!K$2:K$57,0)))</f>
        <v>0</v>
      </c>
    </row>
    <row r="36" spans="1:11" ht="19.5" customHeight="1">
      <c r="A36" s="11"/>
      <c r="B36" s="8">
        <f>IF(COUNTA(date!$B$2:$B$57)&lt;34,"",IFERROR(COUNTIF(date!$K$2:$K$57,"&gt;"&amp;LARGE(date!$K$2:$K$57,34))+1,""))</f>
        <v>34</v>
      </c>
      <c r="C36" s="7" t="str">
        <f>IF(COUNTA(date!$B$2:$B$57)&lt;34,"",INDEX(date!B$2:B$57,MATCH(LARGE(date!K$2:K$57,34),date!K$2:K$57,0)))</f>
        <v>チームI-2</v>
      </c>
      <c r="D36" s="8" t="str">
        <f>IF(COUNTA(date!$B$2:$B$57)&lt;34,"",INDEX(date!C$2:C$57,MATCH(LARGE(date!K$2:K$57,34),date!K$2:K$57,0)))</f>
        <v>Iパート</v>
      </c>
      <c r="E36" s="8">
        <f>IF(COUNTA(date!$B$2:$B$57)&lt;34,"",INDEX(date!D$2:D$57,MATCH(LARGE(date!K$2:K$57,34),date!K$2:K$57,0)))</f>
        <v>0</v>
      </c>
      <c r="F36" s="8">
        <f>IF(COUNTA(date!$B$2:$B$57)&lt;34,"",INDEX(date!E$2:E$57,MATCH(LARGE(date!K$2:K$57,34),date!K$2:K$57,0)))</f>
        <v>0</v>
      </c>
      <c r="G36" s="8">
        <f>IF(COUNTA(date!$B$2:$B$57)&lt;34,"",INDEX(date!F$2:F$57,MATCH(LARGE(date!K$2:K$57,34),date!K$2:K$57,0)))</f>
        <v>0</v>
      </c>
      <c r="H36" s="8">
        <f>IF(COUNTA(date!$B$2:$B$57)&lt;34,"",INDEX(date!G$2:G$57,MATCH(LARGE(date!K$2:K$57,34),date!K$2:K$57,0)))</f>
        <v>0</v>
      </c>
      <c r="I36" s="8">
        <f>IF(COUNTA(date!$B$2:$B$57)&lt;34,"",INDEX(date!H$2:H$57,MATCH(LARGE(date!K$2:K$57,34),date!K$2:K$57,0)))</f>
        <v>0</v>
      </c>
      <c r="J36" s="8">
        <f>IF(COUNTA(date!$B$2:$B$57)&lt;34,"",INDEX(date!I$2:I$57,MATCH(LARGE(date!K$2:K$57,34),date!K$2:K$57,0)))</f>
        <v>0</v>
      </c>
      <c r="K36" s="8">
        <f>IF(COUNTA(date!$B$2:$B$57)&lt;34,"",INDEX(date!J$2:J$57,MATCH(LARGE(date!K$2:K$57,34),date!K$2:K$57,0)))</f>
        <v>0</v>
      </c>
    </row>
    <row r="37" spans="1:11" ht="19.5" customHeight="1">
      <c r="A37" s="11"/>
      <c r="B37" s="31">
        <f>IF(COUNTA(date!$B$2:$B$57)&lt;35,"",IFERROR(COUNTIF(date!$K$2:$K$57,"&gt;"&amp;LARGE(date!$K$2:$K$57,35))+1,""))</f>
        <v>35</v>
      </c>
      <c r="C37" s="32" t="str">
        <f>IF(COUNTA(date!$B$2:$B$57)&lt;35,"",INDEX(date!B$2:B$57,MATCH(LARGE(date!K$2:K$57,35),date!K$2:K$57,0)))</f>
        <v>チームI-3</v>
      </c>
      <c r="D37" s="31" t="str">
        <f>IF(COUNTA(date!$B$2:$B$57)&lt;35,"",INDEX(date!C$2:C$57,MATCH(LARGE(date!K$2:K$57,35),date!K$2:K$57,0)))</f>
        <v>Iパート</v>
      </c>
      <c r="E37" s="31">
        <f>IF(COUNTA(date!$B$2:$B$57)&lt;35,"",INDEX(date!D$2:D$57,MATCH(LARGE(date!K$2:K$57,35),date!K$2:K$57,0)))</f>
        <v>0</v>
      </c>
      <c r="F37" s="31">
        <f>IF(COUNTA(date!$B$2:$B$57)&lt;35,"",INDEX(date!E$2:E$57,MATCH(LARGE(date!K$2:K$57,35),date!K$2:K$57,0)))</f>
        <v>0</v>
      </c>
      <c r="G37" s="31">
        <f>IF(COUNTA(date!$B$2:$B$57)&lt;35,"",INDEX(date!F$2:F$57,MATCH(LARGE(date!K$2:K$57,35),date!K$2:K$57,0)))</f>
        <v>0</v>
      </c>
      <c r="H37" s="31">
        <f>IF(COUNTA(date!$B$2:$B$57)&lt;35,"",INDEX(date!G$2:G$57,MATCH(LARGE(date!K$2:K$57,35),date!K$2:K$57,0)))</f>
        <v>0</v>
      </c>
      <c r="I37" s="31">
        <f>IF(COUNTA(date!$B$2:$B$57)&lt;35,"",INDEX(date!H$2:H$57,MATCH(LARGE(date!K$2:K$57,35),date!K$2:K$57,0)))</f>
        <v>0</v>
      </c>
      <c r="J37" s="31">
        <f>IF(COUNTA(date!$B$2:$B$57)&lt;35,"",INDEX(date!I$2:I$57,MATCH(LARGE(date!K$2:K$57,35),date!K$2:K$57,0)))</f>
        <v>0</v>
      </c>
      <c r="K37" s="31">
        <f>IF(COUNTA(date!$B$2:$B$57)&lt;35,"",INDEX(date!J$2:J$57,MATCH(LARGE(date!K$2:K$57,35),date!K$2:K$57,0)))</f>
        <v>0</v>
      </c>
    </row>
    <row r="38" spans="1:11" ht="19.5" customHeight="1">
      <c r="A38" s="11"/>
      <c r="B38" s="8">
        <f>IF(COUNTA(date!$B$2:$B$57)&lt;36,"",IFERROR(COUNTIF(date!$K$2:$K$57,"&gt;"&amp;LARGE(date!$K$2:$K$57,36))+1,""))</f>
        <v>36</v>
      </c>
      <c r="C38" s="7" t="str">
        <f>IF(COUNTA(date!$B$2:$B$57)&lt;36,"",INDEX(date!B$2:B$57,MATCH(LARGE(date!K$2:K$57,36),date!K$2:K$57,0)))</f>
        <v>チームI-4</v>
      </c>
      <c r="D38" s="8" t="str">
        <f>IF(COUNTA(date!$B$2:$B$57)&lt;36,"",INDEX(date!C$2:C$57,MATCH(LARGE(date!K$2:K$57,36),date!K$2:K$57,0)))</f>
        <v>Iパート</v>
      </c>
      <c r="E38" s="8">
        <f>IF(COUNTA(date!$B$2:$B$57)&lt;36,"",INDEX(date!D$2:D$57,MATCH(LARGE(date!K$2:K$57,36),date!K$2:K$57,0)))</f>
        <v>0</v>
      </c>
      <c r="F38" s="8">
        <f>IF(COUNTA(date!$B$2:$B$57)&lt;36,"",INDEX(date!E$2:E$57,MATCH(LARGE(date!K$2:K$57,36),date!K$2:K$57,0)))</f>
        <v>0</v>
      </c>
      <c r="G38" s="8">
        <f>IF(COUNTA(date!$B$2:$B$57)&lt;36,"",INDEX(date!F$2:F$57,MATCH(LARGE(date!K$2:K$57,36),date!K$2:K$57,0)))</f>
        <v>0</v>
      </c>
      <c r="H38" s="8">
        <f>IF(COUNTA(date!$B$2:$B$57)&lt;36,"",INDEX(date!G$2:G$57,MATCH(LARGE(date!K$2:K$57,36),date!K$2:K$57,0)))</f>
        <v>0</v>
      </c>
      <c r="I38" s="8">
        <f>IF(COUNTA(date!$B$2:$B$57)&lt;36,"",INDEX(date!H$2:H$57,MATCH(LARGE(date!K$2:K$57,36),date!K$2:K$57,0)))</f>
        <v>0</v>
      </c>
      <c r="J38" s="8">
        <f>IF(COUNTA(date!$B$2:$B$57)&lt;36,"",INDEX(date!I$2:I$57,MATCH(LARGE(date!K$2:K$57,36),date!K$2:K$57,0)))</f>
        <v>0</v>
      </c>
      <c r="K38" s="8">
        <f>IF(COUNTA(date!$B$2:$B$57)&lt;36,"",INDEX(date!J$2:J$57,MATCH(LARGE(date!K$2:K$57,36),date!K$2:K$57,0)))</f>
        <v>0</v>
      </c>
    </row>
    <row r="39" spans="1:11" ht="19.5" customHeight="1">
      <c r="A39" s="11"/>
      <c r="B39" s="31">
        <f>IF(COUNTA(date!$B$2:$B$57)&lt;37,"",IFERROR(COUNTIF(date!$K$2:$K$57,"&gt;"&amp;LARGE(date!$K$2:$K$57,37))+1,""))</f>
        <v>37</v>
      </c>
      <c r="C39" s="32" t="str">
        <f>IF(COUNTA(date!$B$2:$B$57)&lt;37,"",INDEX(date!B$2:B$57,MATCH(LARGE(date!K$2:K$57,37),date!K$2:K$57,0)))</f>
        <v>チームJ-1</v>
      </c>
      <c r="D39" s="31" t="str">
        <f>IF(COUNTA(date!$B$2:$B$57)&lt;37,"",INDEX(date!C$2:C$57,MATCH(LARGE(date!K$2:K$57,37),date!K$2:K$57,0)))</f>
        <v>Jパート</v>
      </c>
      <c r="E39" s="31">
        <f>IF(COUNTA(date!$B$2:$B$57)&lt;37,"",INDEX(date!D$2:D$57,MATCH(LARGE(date!K$2:K$57,37),date!K$2:K$57,0)))</f>
        <v>0</v>
      </c>
      <c r="F39" s="31">
        <f>IF(COUNTA(date!$B$2:$B$57)&lt;37,"",INDEX(date!E$2:E$57,MATCH(LARGE(date!K$2:K$57,37),date!K$2:K$57,0)))</f>
        <v>0</v>
      </c>
      <c r="G39" s="31">
        <f>IF(COUNTA(date!$B$2:$B$57)&lt;37,"",INDEX(date!F$2:F$57,MATCH(LARGE(date!K$2:K$57,37),date!K$2:K$57,0)))</f>
        <v>0</v>
      </c>
      <c r="H39" s="31">
        <f>IF(COUNTA(date!$B$2:$B$57)&lt;37,"",INDEX(date!G$2:G$57,MATCH(LARGE(date!K$2:K$57,37),date!K$2:K$57,0)))</f>
        <v>0</v>
      </c>
      <c r="I39" s="31">
        <f>IF(COUNTA(date!$B$2:$B$57)&lt;37,"",INDEX(date!H$2:H$57,MATCH(LARGE(date!K$2:K$57,37),date!K$2:K$57,0)))</f>
        <v>0</v>
      </c>
      <c r="J39" s="31">
        <f>IF(COUNTA(date!$B$2:$B$57)&lt;37,"",INDEX(date!I$2:I$57,MATCH(LARGE(date!K$2:K$57,37),date!K$2:K$57,0)))</f>
        <v>0</v>
      </c>
      <c r="K39" s="31">
        <f>IF(COUNTA(date!$B$2:$B$57)&lt;37,"",INDEX(date!J$2:J$57,MATCH(LARGE(date!K$2:K$57,37),date!K$2:K$57,0)))</f>
        <v>0</v>
      </c>
    </row>
    <row r="40" spans="1:11" ht="19.5" customHeight="1">
      <c r="A40" s="11"/>
      <c r="B40" s="8">
        <f>IF(COUNTA(date!$B$2:$B$57)&lt;38,"",IFERROR(COUNTIF(date!$K$2:$K$57,"&gt;"&amp;LARGE(date!$K$2:$K$57,38))+1,""))</f>
        <v>38</v>
      </c>
      <c r="C40" s="7" t="str">
        <f>IF(COUNTA(date!$B$2:$B$57)&lt;38,"",INDEX(date!B$2:B$57,MATCH(LARGE(date!K$2:K$57,38),date!K$2:K$57,0)))</f>
        <v>チームJ-2</v>
      </c>
      <c r="D40" s="8" t="str">
        <f>IF(COUNTA(date!$B$2:$B$57)&lt;38,"",INDEX(date!C$2:C$57,MATCH(LARGE(date!K$2:K$57,38),date!K$2:K$57,0)))</f>
        <v>Jパート</v>
      </c>
      <c r="E40" s="8">
        <f>IF(COUNTA(date!$B$2:$B$57)&lt;38,"",INDEX(date!D$2:D$57,MATCH(LARGE(date!K$2:K$57,38),date!K$2:K$57,0)))</f>
        <v>0</v>
      </c>
      <c r="F40" s="8">
        <f>IF(COUNTA(date!$B$2:$B$57)&lt;38,"",INDEX(date!E$2:E$57,MATCH(LARGE(date!K$2:K$57,38),date!K$2:K$57,0)))</f>
        <v>0</v>
      </c>
      <c r="G40" s="8">
        <f>IF(COUNTA(date!$B$2:$B$57)&lt;38,"",INDEX(date!F$2:F$57,MATCH(LARGE(date!K$2:K$57,38),date!K$2:K$57,0)))</f>
        <v>0</v>
      </c>
      <c r="H40" s="8">
        <f>IF(COUNTA(date!$B$2:$B$57)&lt;38,"",INDEX(date!G$2:G$57,MATCH(LARGE(date!K$2:K$57,38),date!K$2:K$57,0)))</f>
        <v>0</v>
      </c>
      <c r="I40" s="8">
        <f>IF(COUNTA(date!$B$2:$B$57)&lt;38,"",INDEX(date!H$2:H$57,MATCH(LARGE(date!K$2:K$57,38),date!K$2:K$57,0)))</f>
        <v>0</v>
      </c>
      <c r="J40" s="8">
        <f>IF(COUNTA(date!$B$2:$B$57)&lt;38,"",INDEX(date!I$2:I$57,MATCH(LARGE(date!K$2:K$57,38),date!K$2:K$57,0)))</f>
        <v>0</v>
      </c>
      <c r="K40" s="8">
        <f>IF(COUNTA(date!$B$2:$B$57)&lt;38,"",INDEX(date!J$2:J$57,MATCH(LARGE(date!K$2:K$57,38),date!K$2:K$57,0)))</f>
        <v>0</v>
      </c>
    </row>
    <row r="41" spans="1:11" ht="19.5" customHeight="1">
      <c r="A41" s="11"/>
      <c r="B41" s="31">
        <f>IF(COUNTA(date!$B$2:$B$57)&lt;39,"",IFERROR(COUNTIF(date!$K$2:$K$57,"&gt;"&amp;LARGE(date!$K$2:$K$57,39))+1,""))</f>
        <v>39</v>
      </c>
      <c r="C41" s="32" t="str">
        <f>IF(COUNTA(date!$B$2:$B$57)&lt;39,"",INDEX(date!B$2:B$57,MATCH(LARGE(date!K$2:K$57,39),date!K$2:K$57,0)))</f>
        <v>チームJ-3</v>
      </c>
      <c r="D41" s="31" t="str">
        <f>IF(COUNTA(date!$B$2:$B$57)&lt;39,"",INDEX(date!C$2:C$57,MATCH(LARGE(date!K$2:K$57,39),date!K$2:K$57,0)))</f>
        <v>Jパート</v>
      </c>
      <c r="E41" s="31">
        <f>IF(COUNTA(date!$B$2:$B$57)&lt;39,"",INDEX(date!D$2:D$57,MATCH(LARGE(date!K$2:K$57,39),date!K$2:K$57,0)))</f>
        <v>0</v>
      </c>
      <c r="F41" s="31">
        <f>IF(COUNTA(date!$B$2:$B$57)&lt;39,"",INDEX(date!E$2:E$57,MATCH(LARGE(date!K$2:K$57,39),date!K$2:K$57,0)))</f>
        <v>0</v>
      </c>
      <c r="G41" s="31">
        <f>IF(COUNTA(date!$B$2:$B$57)&lt;39,"",INDEX(date!F$2:F$57,MATCH(LARGE(date!K$2:K$57,39),date!K$2:K$57,0)))</f>
        <v>0</v>
      </c>
      <c r="H41" s="31">
        <f>IF(COUNTA(date!$B$2:$B$57)&lt;39,"",INDEX(date!G$2:G$57,MATCH(LARGE(date!K$2:K$57,39),date!K$2:K$57,0)))</f>
        <v>0</v>
      </c>
      <c r="I41" s="31">
        <f>IF(COUNTA(date!$B$2:$B$57)&lt;39,"",INDEX(date!H$2:H$57,MATCH(LARGE(date!K$2:K$57,39),date!K$2:K$57,0)))</f>
        <v>0</v>
      </c>
      <c r="J41" s="31">
        <f>IF(COUNTA(date!$B$2:$B$57)&lt;39,"",INDEX(date!I$2:I$57,MATCH(LARGE(date!K$2:K$57,39),date!K$2:K$57,0)))</f>
        <v>0</v>
      </c>
      <c r="K41" s="31">
        <f>IF(COUNTA(date!$B$2:$B$57)&lt;39,"",INDEX(date!J$2:J$57,MATCH(LARGE(date!K$2:K$57,39),date!K$2:K$57,0)))</f>
        <v>0</v>
      </c>
    </row>
    <row r="42" spans="1:11" ht="19.5" customHeight="1">
      <c r="A42" s="11"/>
      <c r="B42" s="8">
        <f>IF(COUNTA(date!$B$2:$B$57)&lt;40,"",IFERROR(COUNTIF(date!$K$2:$K$57,"&gt;"&amp;LARGE(date!$K$2:$K$57,40))+1,""))</f>
        <v>40</v>
      </c>
      <c r="C42" s="7" t="str">
        <f>IF(COUNTA(date!$B$2:$B$57)&lt;40,"",INDEX(date!B$2:B$57,MATCH(LARGE(date!K$2:K$57,40),date!K$2:K$57,0)))</f>
        <v>チームJ-4</v>
      </c>
      <c r="D42" s="8" t="str">
        <f>IF(COUNTA(date!$B$2:$B$57)&lt;40,"",INDEX(date!C$2:C$57,MATCH(LARGE(date!K$2:K$57,40),date!K$2:K$57,0)))</f>
        <v>Jパート</v>
      </c>
      <c r="E42" s="8">
        <f>IF(COUNTA(date!$B$2:$B$57)&lt;40,"",INDEX(date!D$2:D$57,MATCH(LARGE(date!K$2:K$57,40),date!K$2:K$57,0)))</f>
        <v>0</v>
      </c>
      <c r="F42" s="8">
        <f>IF(COUNTA(date!$B$2:$B$57)&lt;40,"",INDEX(date!E$2:E$57,MATCH(LARGE(date!K$2:K$57,40),date!K$2:K$57,0)))</f>
        <v>0</v>
      </c>
      <c r="G42" s="8">
        <f>IF(COUNTA(date!$B$2:$B$57)&lt;40,"",INDEX(date!F$2:F$57,MATCH(LARGE(date!K$2:K$57,40),date!K$2:K$57,0)))</f>
        <v>0</v>
      </c>
      <c r="H42" s="8">
        <f>IF(COUNTA(date!$B$2:$B$57)&lt;40,"",INDEX(date!G$2:G$57,MATCH(LARGE(date!K$2:K$57,40),date!K$2:K$57,0)))</f>
        <v>0</v>
      </c>
      <c r="I42" s="8">
        <f>IF(COUNTA(date!$B$2:$B$57)&lt;40,"",INDEX(date!H$2:H$57,MATCH(LARGE(date!K$2:K$57,40),date!K$2:K$57,0)))</f>
        <v>0</v>
      </c>
      <c r="J42" s="8">
        <f>IF(COUNTA(date!$B$2:$B$57)&lt;40,"",INDEX(date!I$2:I$57,MATCH(LARGE(date!K$2:K$57,40),date!K$2:K$57,0)))</f>
        <v>0</v>
      </c>
      <c r="K42" s="8">
        <f>IF(COUNTA(date!$B$2:$B$57)&lt;40,"",INDEX(date!J$2:J$57,MATCH(LARGE(date!K$2:K$57,40),date!K$2:K$57,0)))</f>
        <v>0</v>
      </c>
    </row>
    <row r="43" spans="1:11" ht="19.5" customHeight="1">
      <c r="A43" s="11"/>
      <c r="B43" s="31">
        <f>IF(COUNTA(date!$B$2:$B$57)&lt;41,"",IFERROR(COUNTIF(date!$K$2:$K$57,"&gt;"&amp;LARGE(date!$K$2:$K$57,41))+1,""))</f>
        <v>41</v>
      </c>
      <c r="C43" s="32" t="str">
        <f>IF(COUNTA(date!$B$2:$B$57)&lt;41,"",INDEX(date!B$2:B$57,MATCH(LARGE(date!K$2:K$57,41),date!K$2:K$57,0)))</f>
        <v>チームK-1</v>
      </c>
      <c r="D43" s="31" t="str">
        <f>IF(COUNTA(date!$B$2:$B$57)&lt;41,"",INDEX(date!C$2:C$57,MATCH(LARGE(date!K$2:K$57,41),date!K$2:K$57,0)))</f>
        <v>Kパート</v>
      </c>
      <c r="E43" s="31">
        <f>IF(COUNTA(date!$B$2:$B$57)&lt;41,"",INDEX(date!D$2:D$57,MATCH(LARGE(date!K$2:K$57,41),date!K$2:K$57,0)))</f>
        <v>0</v>
      </c>
      <c r="F43" s="31">
        <f>IF(COUNTA(date!$B$2:$B$57)&lt;41,"",INDEX(date!E$2:E$57,MATCH(LARGE(date!K$2:K$57,41),date!K$2:K$57,0)))</f>
        <v>0</v>
      </c>
      <c r="G43" s="31">
        <f>IF(COUNTA(date!$B$2:$B$57)&lt;41,"",INDEX(date!F$2:F$57,MATCH(LARGE(date!K$2:K$57,41),date!K$2:K$57,0)))</f>
        <v>0</v>
      </c>
      <c r="H43" s="31">
        <f>IF(COUNTA(date!$B$2:$B$57)&lt;41,"",INDEX(date!G$2:G$57,MATCH(LARGE(date!K$2:K$57,41),date!K$2:K$57,0)))</f>
        <v>0</v>
      </c>
      <c r="I43" s="31">
        <f>IF(COUNTA(date!$B$2:$B$57)&lt;41,"",INDEX(date!H$2:H$57,MATCH(LARGE(date!K$2:K$57,41),date!K$2:K$57,0)))</f>
        <v>0</v>
      </c>
      <c r="J43" s="31">
        <f>IF(COUNTA(date!$B$2:$B$57)&lt;41,"",INDEX(date!I$2:I$57,MATCH(LARGE(date!K$2:K$57,41),date!K$2:K$57,0)))</f>
        <v>0</v>
      </c>
      <c r="K43" s="31">
        <f>IF(COUNTA(date!$B$2:$B$57)&lt;41,"",INDEX(date!J$2:J$57,MATCH(LARGE(date!K$2:K$57,41),date!K$2:K$57,0)))</f>
        <v>0</v>
      </c>
    </row>
    <row r="44" spans="1:11" ht="19.5" customHeight="1">
      <c r="A44" s="11"/>
      <c r="B44" s="8">
        <f>IF(COUNTA(date!$B$2:$B$57)&lt;42,"",IFERROR(COUNTIF(date!$K$2:$K$57,"&gt;"&amp;LARGE(date!$K$2:$K$57,42))+1,""))</f>
        <v>42</v>
      </c>
      <c r="C44" s="7" t="str">
        <f>IF(COUNTA(date!$B$2:$B$57)&lt;42,"",INDEX(date!B$2:B$57,MATCH(LARGE(date!K$2:K$57,42),date!K$2:K$57,0)))</f>
        <v>チームK-2</v>
      </c>
      <c r="D44" s="8" t="str">
        <f>IF(COUNTA(date!$B$2:$B$57)&lt;42,"",INDEX(date!C$2:C$57,MATCH(LARGE(date!K$2:K$57,42),date!K$2:K$57,0)))</f>
        <v>Kパート</v>
      </c>
      <c r="E44" s="8">
        <f>IF(COUNTA(date!$B$2:$B$57)&lt;42,"",INDEX(date!D$2:D$57,MATCH(LARGE(date!K$2:K$57,42),date!K$2:K$57,0)))</f>
        <v>0</v>
      </c>
      <c r="F44" s="8">
        <f>IF(COUNTA(date!$B$2:$B$57)&lt;42,"",INDEX(date!E$2:E$57,MATCH(LARGE(date!K$2:K$57,42),date!K$2:K$57,0)))</f>
        <v>0</v>
      </c>
      <c r="G44" s="8">
        <f>IF(COUNTA(date!$B$2:$B$57)&lt;42,"",INDEX(date!F$2:F$57,MATCH(LARGE(date!K$2:K$57,42),date!K$2:K$57,0)))</f>
        <v>0</v>
      </c>
      <c r="H44" s="8">
        <f>IF(COUNTA(date!$B$2:$B$57)&lt;42,"",INDEX(date!G$2:G$57,MATCH(LARGE(date!K$2:K$57,42),date!K$2:K$57,0)))</f>
        <v>0</v>
      </c>
      <c r="I44" s="8">
        <f>IF(COUNTA(date!$B$2:$B$57)&lt;42,"",INDEX(date!H$2:H$57,MATCH(LARGE(date!K$2:K$57,42),date!K$2:K$57,0)))</f>
        <v>0</v>
      </c>
      <c r="J44" s="8">
        <f>IF(COUNTA(date!$B$2:$B$57)&lt;42,"",INDEX(date!I$2:I$57,MATCH(LARGE(date!K$2:K$57,42),date!K$2:K$57,0)))</f>
        <v>0</v>
      </c>
      <c r="K44" s="8">
        <f>IF(COUNTA(date!$B$2:$B$57)&lt;42,"",INDEX(date!J$2:J$57,MATCH(LARGE(date!K$2:K$57,42),date!K$2:K$57,0)))</f>
        <v>0</v>
      </c>
    </row>
    <row r="45" spans="1:11" ht="19.5" customHeight="1">
      <c r="A45" s="11"/>
      <c r="B45" s="31">
        <f>IF(COUNTA(date!$B$2:$B$57)&lt;43,"",IFERROR(COUNTIF(date!$K$2:$K$57,"&gt;"&amp;LARGE(date!$K$2:$K$57,43))+1,""))</f>
        <v>43</v>
      </c>
      <c r="C45" s="32" t="str">
        <f>IF(COUNTA(date!$B$2:$B$57)&lt;43,"",INDEX(date!B$2:B$57,MATCH(LARGE(date!K$2:K$57,43),date!K$2:K$57,0)))</f>
        <v>チームK-3</v>
      </c>
      <c r="D45" s="31" t="str">
        <f>IF(COUNTA(date!$B$2:$B$57)&lt;43,"",INDEX(date!C$2:C$57,MATCH(LARGE(date!K$2:K$57,43),date!K$2:K$57,0)))</f>
        <v>Kパート</v>
      </c>
      <c r="E45" s="31">
        <f>IF(COUNTA(date!$B$2:$B$57)&lt;43,"",INDEX(date!D$2:D$57,MATCH(LARGE(date!K$2:K$57,43),date!K$2:K$57,0)))</f>
        <v>0</v>
      </c>
      <c r="F45" s="31">
        <f>IF(COUNTA(date!$B$2:$B$57)&lt;43,"",INDEX(date!E$2:E$57,MATCH(LARGE(date!K$2:K$57,43),date!K$2:K$57,0)))</f>
        <v>0</v>
      </c>
      <c r="G45" s="31">
        <f>IF(COUNTA(date!$B$2:$B$57)&lt;43,"",INDEX(date!F$2:F$57,MATCH(LARGE(date!K$2:K$57,43),date!K$2:K$57,0)))</f>
        <v>0</v>
      </c>
      <c r="H45" s="31">
        <f>IF(COUNTA(date!$B$2:$B$57)&lt;43,"",INDEX(date!G$2:G$57,MATCH(LARGE(date!K$2:K$57,43),date!K$2:K$57,0)))</f>
        <v>0</v>
      </c>
      <c r="I45" s="31">
        <f>IF(COUNTA(date!$B$2:$B$57)&lt;43,"",INDEX(date!H$2:H$57,MATCH(LARGE(date!K$2:K$57,43),date!K$2:K$57,0)))</f>
        <v>0</v>
      </c>
      <c r="J45" s="31">
        <f>IF(COUNTA(date!$B$2:$B$57)&lt;43,"",INDEX(date!I$2:I$57,MATCH(LARGE(date!K$2:K$57,43),date!K$2:K$57,0)))</f>
        <v>0</v>
      </c>
      <c r="K45" s="31">
        <f>IF(COUNTA(date!$B$2:$B$57)&lt;43,"",INDEX(date!J$2:J$57,MATCH(LARGE(date!K$2:K$57,43),date!K$2:K$57,0)))</f>
        <v>0</v>
      </c>
    </row>
    <row r="46" spans="1:11" ht="19.5" customHeight="1">
      <c r="A46" s="11"/>
      <c r="B46" s="8">
        <f>IF(COUNTA(date!$B$2:$B$57)&lt;44,"",IFERROR(COUNTIF(date!$K$2:$K$57,"&gt;"&amp;LARGE(date!$K$2:$K$57,44))+1,""))</f>
        <v>44</v>
      </c>
      <c r="C46" s="7" t="str">
        <f>IF(COUNTA(date!$B$2:$B$57)&lt;44,"",INDEX(date!B$2:B$57,MATCH(LARGE(date!K$2:K$57,44),date!K$2:K$57,0)))</f>
        <v>チームK-4</v>
      </c>
      <c r="D46" s="8" t="str">
        <f>IF(COUNTA(date!$B$2:$B$57)&lt;44,"",INDEX(date!C$2:C$57,MATCH(LARGE(date!K$2:K$57,44),date!K$2:K$57,0)))</f>
        <v>Kパート</v>
      </c>
      <c r="E46" s="8">
        <f>IF(COUNTA(date!$B$2:$B$57)&lt;44,"",INDEX(date!D$2:D$57,MATCH(LARGE(date!K$2:K$57,44),date!K$2:K$57,0)))</f>
        <v>0</v>
      </c>
      <c r="F46" s="8">
        <f>IF(COUNTA(date!$B$2:$B$57)&lt;44,"",INDEX(date!E$2:E$57,MATCH(LARGE(date!K$2:K$57,44),date!K$2:K$57,0)))</f>
        <v>0</v>
      </c>
      <c r="G46" s="8">
        <f>IF(COUNTA(date!$B$2:$B$57)&lt;44,"",INDEX(date!F$2:F$57,MATCH(LARGE(date!K$2:K$57,44),date!K$2:K$57,0)))</f>
        <v>0</v>
      </c>
      <c r="H46" s="8">
        <f>IF(COUNTA(date!$B$2:$B$57)&lt;44,"",INDEX(date!G$2:G$57,MATCH(LARGE(date!K$2:K$57,44),date!K$2:K$57,0)))</f>
        <v>0</v>
      </c>
      <c r="I46" s="8">
        <f>IF(COUNTA(date!$B$2:$B$57)&lt;44,"",INDEX(date!H$2:H$57,MATCH(LARGE(date!K$2:K$57,44),date!K$2:K$57,0)))</f>
        <v>0</v>
      </c>
      <c r="J46" s="8">
        <f>IF(COUNTA(date!$B$2:$B$57)&lt;44,"",INDEX(date!I$2:I$57,MATCH(LARGE(date!K$2:K$57,44),date!K$2:K$57,0)))</f>
        <v>0</v>
      </c>
      <c r="K46" s="8">
        <f>IF(COUNTA(date!$B$2:$B$57)&lt;44,"",INDEX(date!J$2:J$57,MATCH(LARGE(date!K$2:K$57,44),date!K$2:K$57,0)))</f>
        <v>0</v>
      </c>
    </row>
    <row r="47" spans="1:11" ht="19.5" customHeight="1">
      <c r="A47" s="11"/>
      <c r="B47" s="31">
        <f>IF(COUNTA(date!$B$2:$B$57)&lt;45,"",IFERROR(COUNTIF(date!$K$2:$K$57,"&gt;"&amp;LARGE(date!$K$2:$K$57,45))+1,""))</f>
        <v>45</v>
      </c>
      <c r="C47" s="32" t="str">
        <f>IF(COUNTA(date!$B$2:$B$57)&lt;45,"",INDEX(date!B$2:B$57,MATCH(LARGE(date!K$2:K$57,45),date!K$2:K$57,0)))</f>
        <v>チームL-1</v>
      </c>
      <c r="D47" s="31" t="str">
        <f>IF(COUNTA(date!$B$2:$B$57)&lt;45,"",INDEX(date!C$2:C$57,MATCH(LARGE(date!K$2:K$57,45),date!K$2:K$57,0)))</f>
        <v>Lパート</v>
      </c>
      <c r="E47" s="31">
        <f>IF(COUNTA(date!$B$2:$B$57)&lt;45,"",INDEX(date!D$2:D$57,MATCH(LARGE(date!K$2:K$57,45),date!K$2:K$57,0)))</f>
        <v>0</v>
      </c>
      <c r="F47" s="31">
        <f>IF(COUNTA(date!$B$2:$B$57)&lt;45,"",INDEX(date!E$2:E$57,MATCH(LARGE(date!K$2:K$57,45),date!K$2:K$57,0)))</f>
        <v>0</v>
      </c>
      <c r="G47" s="31">
        <f>IF(COUNTA(date!$B$2:$B$57)&lt;45,"",INDEX(date!F$2:F$57,MATCH(LARGE(date!K$2:K$57,45),date!K$2:K$57,0)))</f>
        <v>0</v>
      </c>
      <c r="H47" s="31">
        <f>IF(COUNTA(date!$B$2:$B$57)&lt;45,"",INDEX(date!G$2:G$57,MATCH(LARGE(date!K$2:K$57,45),date!K$2:K$57,0)))</f>
        <v>0</v>
      </c>
      <c r="I47" s="31">
        <f>IF(COUNTA(date!$B$2:$B$57)&lt;45,"",INDEX(date!H$2:H$57,MATCH(LARGE(date!K$2:K$57,45),date!K$2:K$57,0)))</f>
        <v>0</v>
      </c>
      <c r="J47" s="31">
        <f>IF(COUNTA(date!$B$2:$B$57)&lt;45,"",INDEX(date!I$2:I$57,MATCH(LARGE(date!K$2:K$57,45),date!K$2:K$57,0)))</f>
        <v>0</v>
      </c>
      <c r="K47" s="31">
        <f>IF(COUNTA(date!$B$2:$B$57)&lt;45,"",INDEX(date!J$2:J$57,MATCH(LARGE(date!K$2:K$57,45),date!K$2:K$57,0)))</f>
        <v>0</v>
      </c>
    </row>
    <row r="48" spans="1:11" ht="19.5" customHeight="1">
      <c r="A48" s="11"/>
      <c r="B48" s="8">
        <f>IF(COUNTA(date!$B$2:$B$57)&lt;46,"",IFERROR(COUNTIF(date!$K$2:$K$57,"&gt;"&amp;LARGE(date!$K$2:$K$57,46))+1,""))</f>
        <v>46</v>
      </c>
      <c r="C48" s="7" t="str">
        <f>IF(COUNTA(date!$B$2:$B$57)&lt;46,"",INDEX(date!B$2:B$57,MATCH(LARGE(date!K$2:K$57,46),date!K$2:K$57,0)))</f>
        <v>チームL-2</v>
      </c>
      <c r="D48" s="8" t="str">
        <f>IF(COUNTA(date!$B$2:$B$57)&lt;46,"",INDEX(date!C$2:C$57,MATCH(LARGE(date!K$2:K$57,46),date!K$2:K$57,0)))</f>
        <v>Lパート</v>
      </c>
      <c r="E48" s="8">
        <f>IF(COUNTA(date!$B$2:$B$57)&lt;46,"",INDEX(date!D$2:D$57,MATCH(LARGE(date!K$2:K$57,46),date!K$2:K$57,0)))</f>
        <v>0</v>
      </c>
      <c r="F48" s="8">
        <f>IF(COUNTA(date!$B$2:$B$57)&lt;46,"",INDEX(date!E$2:E$57,MATCH(LARGE(date!K$2:K$57,46),date!K$2:K$57,0)))</f>
        <v>0</v>
      </c>
      <c r="G48" s="8">
        <f>IF(COUNTA(date!$B$2:$B$57)&lt;46,"",INDEX(date!F$2:F$57,MATCH(LARGE(date!K$2:K$57,46),date!K$2:K$57,0)))</f>
        <v>0</v>
      </c>
      <c r="H48" s="8">
        <f>IF(COUNTA(date!$B$2:$B$57)&lt;46,"",INDEX(date!G$2:G$57,MATCH(LARGE(date!K$2:K$57,46),date!K$2:K$57,0)))</f>
        <v>0</v>
      </c>
      <c r="I48" s="8">
        <f>IF(COUNTA(date!$B$2:$B$57)&lt;46,"",INDEX(date!H$2:H$57,MATCH(LARGE(date!K$2:K$57,46),date!K$2:K$57,0)))</f>
        <v>0</v>
      </c>
      <c r="J48" s="8">
        <f>IF(COUNTA(date!$B$2:$B$57)&lt;46,"",INDEX(date!I$2:I$57,MATCH(LARGE(date!K$2:K$57,46),date!K$2:K$57,0)))</f>
        <v>0</v>
      </c>
      <c r="K48" s="8">
        <f>IF(COUNTA(date!$B$2:$B$57)&lt;46,"",INDEX(date!J$2:J$57,MATCH(LARGE(date!K$2:K$57,46),date!K$2:K$57,0)))</f>
        <v>0</v>
      </c>
    </row>
    <row r="49" spans="1:11" ht="19.5" customHeight="1">
      <c r="A49" s="11"/>
      <c r="B49" s="31">
        <f>IF(COUNTA(date!$B$2:$B$57)&lt;47,"",IFERROR(COUNTIF(date!$K$2:$K$57,"&gt;"&amp;LARGE(date!$K$2:$K$57,47))+1,""))</f>
        <v>47</v>
      </c>
      <c r="C49" s="32" t="str">
        <f>IF(COUNTA(date!$B$2:$B$57)&lt;47,"",INDEX(date!B$2:B$57,MATCH(LARGE(date!K$2:K$57,47),date!K$2:K$57,0)))</f>
        <v>チームL-3</v>
      </c>
      <c r="D49" s="31" t="str">
        <f>IF(COUNTA(date!$B$2:$B$57)&lt;47,"",INDEX(date!C$2:C$57,MATCH(LARGE(date!K$2:K$57,47),date!K$2:K$57,0)))</f>
        <v>Lパート</v>
      </c>
      <c r="E49" s="31">
        <f>IF(COUNTA(date!$B$2:$B$57)&lt;47,"",INDEX(date!D$2:D$57,MATCH(LARGE(date!K$2:K$57,47),date!K$2:K$57,0)))</f>
        <v>0</v>
      </c>
      <c r="F49" s="31">
        <f>IF(COUNTA(date!$B$2:$B$57)&lt;47,"",INDEX(date!E$2:E$57,MATCH(LARGE(date!K$2:K$57,47),date!K$2:K$57,0)))</f>
        <v>0</v>
      </c>
      <c r="G49" s="31">
        <f>IF(COUNTA(date!$B$2:$B$57)&lt;47,"",INDEX(date!F$2:F$57,MATCH(LARGE(date!K$2:K$57,47),date!K$2:K$57,0)))</f>
        <v>0</v>
      </c>
      <c r="H49" s="31">
        <f>IF(COUNTA(date!$B$2:$B$57)&lt;47,"",INDEX(date!G$2:G$57,MATCH(LARGE(date!K$2:K$57,47),date!K$2:K$57,0)))</f>
        <v>0</v>
      </c>
      <c r="I49" s="31">
        <f>IF(COUNTA(date!$B$2:$B$57)&lt;47,"",INDEX(date!H$2:H$57,MATCH(LARGE(date!K$2:K$57,47),date!K$2:K$57,0)))</f>
        <v>0</v>
      </c>
      <c r="J49" s="31">
        <f>IF(COUNTA(date!$B$2:$B$57)&lt;47,"",INDEX(date!I$2:I$57,MATCH(LARGE(date!K$2:K$57,47),date!K$2:K$57,0)))</f>
        <v>0</v>
      </c>
      <c r="K49" s="31">
        <f>IF(COUNTA(date!$B$2:$B$57)&lt;47,"",INDEX(date!J$2:J$57,MATCH(LARGE(date!K$2:K$57,47),date!K$2:K$57,0)))</f>
        <v>0</v>
      </c>
    </row>
    <row r="50" spans="1:11" ht="19.5" customHeight="1">
      <c r="A50" s="11"/>
      <c r="B50" s="8">
        <f>IF(COUNTA(date!$B$2:$B$57)&lt;48,"",IFERROR(COUNTIF(date!$K$2:$K$57,"&gt;"&amp;LARGE(date!$K$2:$K$57,48))+1,""))</f>
        <v>48</v>
      </c>
      <c r="C50" s="7" t="str">
        <f>IF(COUNTA(date!$B$2:$B$57)&lt;48,"",INDEX(date!B$2:B$57,MATCH(LARGE(date!K$2:K$57,48),date!K$2:K$57,0)))</f>
        <v>チームL-4</v>
      </c>
      <c r="D50" s="8" t="str">
        <f>IF(COUNTA(date!$B$2:$B$57)&lt;48,"",INDEX(date!C$2:C$57,MATCH(LARGE(date!K$2:K$57,48),date!K$2:K$57,0)))</f>
        <v>Lパート</v>
      </c>
      <c r="E50" s="8">
        <f>IF(COUNTA(date!$B$2:$B$57)&lt;48,"",INDEX(date!D$2:D$57,MATCH(LARGE(date!K$2:K$57,48),date!K$2:K$57,0)))</f>
        <v>0</v>
      </c>
      <c r="F50" s="8">
        <f>IF(COUNTA(date!$B$2:$B$57)&lt;48,"",INDEX(date!E$2:E$57,MATCH(LARGE(date!K$2:K$57,48),date!K$2:K$57,0)))</f>
        <v>0</v>
      </c>
      <c r="G50" s="8">
        <f>IF(COUNTA(date!$B$2:$B$57)&lt;48,"",INDEX(date!F$2:F$57,MATCH(LARGE(date!K$2:K$57,48),date!K$2:K$57,0)))</f>
        <v>0</v>
      </c>
      <c r="H50" s="8">
        <f>IF(COUNTA(date!$B$2:$B$57)&lt;48,"",INDEX(date!G$2:G$57,MATCH(LARGE(date!K$2:K$57,48),date!K$2:K$57,0)))</f>
        <v>0</v>
      </c>
      <c r="I50" s="8">
        <f>IF(COUNTA(date!$B$2:$B$57)&lt;48,"",INDEX(date!H$2:H$57,MATCH(LARGE(date!K$2:K$57,48),date!K$2:K$57,0)))</f>
        <v>0</v>
      </c>
      <c r="J50" s="8">
        <f>IF(COUNTA(date!$B$2:$B$57)&lt;48,"",INDEX(date!I$2:I$57,MATCH(LARGE(date!K$2:K$57,48),date!K$2:K$57,0)))</f>
        <v>0</v>
      </c>
      <c r="K50" s="8">
        <f>IF(COUNTA(date!$B$2:$B$57)&lt;48,"",INDEX(date!J$2:J$57,MATCH(LARGE(date!K$2:K$57,48),date!K$2:K$57,0)))</f>
        <v>0</v>
      </c>
    </row>
    <row r="51" spans="1:11" ht="19.5" customHeight="1">
      <c r="A51" s="11"/>
      <c r="B51" s="31">
        <f>IF(COUNTA(date!$B$2:$B$57)&lt;49,"",IFERROR(COUNTIF(date!$K$2:$K$57,"&gt;"&amp;LARGE(date!$K$2:$K$57,49))+1,""))</f>
        <v>49</v>
      </c>
      <c r="C51" s="32" t="str">
        <f>IF(COUNTA(date!$B$2:$B$57)&lt;49,"",INDEX(date!B$2:B$57,MATCH(LARGE(date!K$2:K$57,49),date!K$2:K$57,0)))</f>
        <v>チームM-1</v>
      </c>
      <c r="D51" s="31" t="str">
        <f>IF(COUNTA(date!$B$2:$B$57)&lt;49,"",INDEX(date!C$2:C$57,MATCH(LARGE(date!K$2:K$57,49),date!K$2:K$57,0)))</f>
        <v>Mパート</v>
      </c>
      <c r="E51" s="31">
        <f>IF(COUNTA(date!$B$2:$B$57)&lt;49,"",INDEX(date!D$2:D$57,MATCH(LARGE(date!K$2:K$57,49),date!K$2:K$57,0)))</f>
        <v>0</v>
      </c>
      <c r="F51" s="31">
        <f>IF(COUNTA(date!$B$2:$B$57)&lt;49,"",INDEX(date!E$2:E$57,MATCH(LARGE(date!K$2:K$57,49),date!K$2:K$57,0)))</f>
        <v>0</v>
      </c>
      <c r="G51" s="31">
        <f>IF(COUNTA(date!$B$2:$B$57)&lt;49,"",INDEX(date!F$2:F$57,MATCH(LARGE(date!K$2:K$57,49),date!K$2:K$57,0)))</f>
        <v>0</v>
      </c>
      <c r="H51" s="31">
        <f>IF(COUNTA(date!$B$2:$B$57)&lt;49,"",INDEX(date!G$2:G$57,MATCH(LARGE(date!K$2:K$57,49),date!K$2:K$57,0)))</f>
        <v>0</v>
      </c>
      <c r="I51" s="31">
        <f>IF(COUNTA(date!$B$2:$B$57)&lt;49,"",INDEX(date!H$2:H$57,MATCH(LARGE(date!K$2:K$57,49),date!K$2:K$57,0)))</f>
        <v>0</v>
      </c>
      <c r="J51" s="31">
        <f>IF(COUNTA(date!$B$2:$B$57)&lt;49,"",INDEX(date!I$2:I$57,MATCH(LARGE(date!K$2:K$57,49),date!K$2:K$57,0)))</f>
        <v>0</v>
      </c>
      <c r="K51" s="31">
        <f>IF(COUNTA(date!$B$2:$B$57)&lt;49,"",INDEX(date!J$2:J$57,MATCH(LARGE(date!K$2:K$57,49),date!K$2:K$57,0)))</f>
        <v>0</v>
      </c>
    </row>
    <row r="52" spans="1:11" ht="19.5" customHeight="1">
      <c r="A52" s="11"/>
      <c r="B52" s="8">
        <f>IF(COUNTA(date!$B$2:$B$57)&lt;50,"",IFERROR(COUNTIF(date!$K$2:$K$57,"&gt;"&amp;LARGE(date!$K$2:$K$57,50))+1,""))</f>
        <v>50</v>
      </c>
      <c r="C52" s="7" t="str">
        <f>IF(COUNTA(date!$B$2:$B$57)&lt;50,"",INDEX(date!B$2:B$57,MATCH(LARGE(date!K$2:K$57,50),date!K$2:K$57,0)))</f>
        <v>チームM-2</v>
      </c>
      <c r="D52" s="8" t="str">
        <f>IF(COUNTA(date!$B$2:$B$57)&lt;50,"",INDEX(date!C$2:C$57,MATCH(LARGE(date!K$2:K$57,50),date!K$2:K$57,0)))</f>
        <v>Mパート</v>
      </c>
      <c r="E52" s="8">
        <f>IF(COUNTA(date!$B$2:$B$57)&lt;50,"",INDEX(date!D$2:D$57,MATCH(LARGE(date!K$2:K$57,50),date!K$2:K$57,0)))</f>
        <v>0</v>
      </c>
      <c r="F52" s="8">
        <f>IF(COUNTA(date!$B$2:$B$57)&lt;50,"",INDEX(date!E$2:E$57,MATCH(LARGE(date!K$2:K$57,50),date!K$2:K$57,0)))</f>
        <v>0</v>
      </c>
      <c r="G52" s="8">
        <f>IF(COUNTA(date!$B$2:$B$57)&lt;50,"",INDEX(date!F$2:F$57,MATCH(LARGE(date!K$2:K$57,50),date!K$2:K$57,0)))</f>
        <v>0</v>
      </c>
      <c r="H52" s="8">
        <f>IF(COUNTA(date!$B$2:$B$57)&lt;50,"",INDEX(date!G$2:G$57,MATCH(LARGE(date!K$2:K$57,50),date!K$2:K$57,0)))</f>
        <v>0</v>
      </c>
      <c r="I52" s="8">
        <f>IF(COUNTA(date!$B$2:$B$57)&lt;50,"",INDEX(date!H$2:H$57,MATCH(LARGE(date!K$2:K$57,50),date!K$2:K$57,0)))</f>
        <v>0</v>
      </c>
      <c r="J52" s="8">
        <f>IF(COUNTA(date!$B$2:$B$57)&lt;50,"",INDEX(date!I$2:I$57,MATCH(LARGE(date!K$2:K$57,50),date!K$2:K$57,0)))</f>
        <v>0</v>
      </c>
      <c r="K52" s="8">
        <f>IF(COUNTA(date!$B$2:$B$57)&lt;50,"",INDEX(date!J$2:J$57,MATCH(LARGE(date!K$2:K$57,50),date!K$2:K$57,0)))</f>
        <v>0</v>
      </c>
    </row>
    <row r="53" spans="1:11" ht="19.5" customHeight="1">
      <c r="A53" s="11"/>
      <c r="B53" s="31">
        <f>IF(COUNTA(date!$B$2:$B$57)&lt;51,"",IFERROR(COUNTIF(date!$K$2:$K$57,"&gt;"&amp;LARGE(date!$K$2:$K$57,51))+1,""))</f>
        <v>51</v>
      </c>
      <c r="C53" s="32" t="str">
        <f>IF(COUNTA(date!$B$2:$B$57)&lt;51,"",INDEX(date!B$2:B$57,MATCH(LARGE(date!K$2:K$57,51),date!K$2:K$57,0)))</f>
        <v>チームM-3</v>
      </c>
      <c r="D53" s="31" t="str">
        <f>IF(COUNTA(date!$B$2:$B$57)&lt;51,"",INDEX(date!C$2:C$57,MATCH(LARGE(date!K$2:K$57,51),date!K$2:K$57,0)))</f>
        <v>Mパート</v>
      </c>
      <c r="E53" s="31">
        <f>IF(COUNTA(date!$B$2:$B$57)&lt;51,"",INDEX(date!D$2:D$57,MATCH(LARGE(date!K$2:K$57,51),date!K$2:K$57,0)))</f>
        <v>0</v>
      </c>
      <c r="F53" s="31">
        <f>IF(COUNTA(date!$B$2:$B$57)&lt;51,"",INDEX(date!E$2:E$57,MATCH(LARGE(date!K$2:K$57,51),date!K$2:K$57,0)))</f>
        <v>0</v>
      </c>
      <c r="G53" s="31">
        <f>IF(COUNTA(date!$B$2:$B$57)&lt;51,"",INDEX(date!F$2:F$57,MATCH(LARGE(date!K$2:K$57,51),date!K$2:K$57,0)))</f>
        <v>0</v>
      </c>
      <c r="H53" s="31">
        <f>IF(COUNTA(date!$B$2:$B$57)&lt;51,"",INDEX(date!G$2:G$57,MATCH(LARGE(date!K$2:K$57,51),date!K$2:K$57,0)))</f>
        <v>0</v>
      </c>
      <c r="I53" s="31">
        <f>IF(COUNTA(date!$B$2:$B$57)&lt;51,"",INDEX(date!H$2:H$57,MATCH(LARGE(date!K$2:K$57,51),date!K$2:K$57,0)))</f>
        <v>0</v>
      </c>
      <c r="J53" s="31">
        <f>IF(COUNTA(date!$B$2:$B$57)&lt;51,"",INDEX(date!I$2:I$57,MATCH(LARGE(date!K$2:K$57,51),date!K$2:K$57,0)))</f>
        <v>0</v>
      </c>
      <c r="K53" s="31">
        <f>IF(COUNTA(date!$B$2:$B$57)&lt;51,"",INDEX(date!J$2:J$57,MATCH(LARGE(date!K$2:K$57,51),date!K$2:K$57,0)))</f>
        <v>0</v>
      </c>
    </row>
    <row r="54" spans="1:11" ht="19.5" customHeight="1">
      <c r="A54" s="11"/>
      <c r="B54" s="8">
        <f>IF(COUNTA(date!$B$2:$B$57)&lt;52,"",IFERROR(COUNTIF(date!$K$2:$K$57,"&gt;"&amp;LARGE(date!$K$2:$K$57,52))+1,""))</f>
        <v>52</v>
      </c>
      <c r="C54" s="7" t="str">
        <f>IF(COUNTA(date!$B$2:$B$57)&lt;52,"",INDEX(date!B$2:B$57,MATCH(LARGE(date!K$2:K$57,52),date!K$2:K$57,0)))</f>
        <v>チームM-4</v>
      </c>
      <c r="D54" s="8" t="str">
        <f>IF(COUNTA(date!$B$2:$B$57)&lt;52,"",INDEX(date!C$2:C$57,MATCH(LARGE(date!K$2:K$57,52),date!K$2:K$57,0)))</f>
        <v>Mパート</v>
      </c>
      <c r="E54" s="8">
        <f>IF(COUNTA(date!$B$2:$B$57)&lt;52,"",INDEX(date!D$2:D$57,MATCH(LARGE(date!K$2:K$57,52),date!K$2:K$57,0)))</f>
        <v>0</v>
      </c>
      <c r="F54" s="8">
        <f>IF(COUNTA(date!$B$2:$B$57)&lt;52,"",INDEX(date!E$2:E$57,MATCH(LARGE(date!K$2:K$57,52),date!K$2:K$57,0)))</f>
        <v>0</v>
      </c>
      <c r="G54" s="8">
        <f>IF(COUNTA(date!$B$2:$B$57)&lt;52,"",INDEX(date!F$2:F$57,MATCH(LARGE(date!K$2:K$57,52),date!K$2:K$57,0)))</f>
        <v>0</v>
      </c>
      <c r="H54" s="8">
        <f>IF(COUNTA(date!$B$2:$B$57)&lt;52,"",INDEX(date!G$2:G$57,MATCH(LARGE(date!K$2:K$57,52),date!K$2:K$57,0)))</f>
        <v>0</v>
      </c>
      <c r="I54" s="8">
        <f>IF(COUNTA(date!$B$2:$B$57)&lt;52,"",INDEX(date!H$2:H$57,MATCH(LARGE(date!K$2:K$57,52),date!K$2:K$57,0)))</f>
        <v>0</v>
      </c>
      <c r="J54" s="8">
        <f>IF(COUNTA(date!$B$2:$B$57)&lt;52,"",INDEX(date!I$2:I$57,MATCH(LARGE(date!K$2:K$57,52),date!K$2:K$57,0)))</f>
        <v>0</v>
      </c>
      <c r="K54" s="8">
        <f>IF(COUNTA(date!$B$2:$B$57)&lt;52,"",INDEX(date!J$2:J$57,MATCH(LARGE(date!K$2:K$57,52),date!K$2:K$57,0)))</f>
        <v>0</v>
      </c>
    </row>
    <row r="55" spans="1:11" ht="19.5" customHeight="1">
      <c r="A55" s="11"/>
      <c r="B55" s="31">
        <f>IF(COUNTA(date!$B$2:$B$57)&lt;53,"",IFERROR(COUNTIF(date!$K$2:$K$57,"&gt;"&amp;LARGE(date!$K$2:$K$57,53))+1,""))</f>
        <v>53</v>
      </c>
      <c r="C55" s="32" t="str">
        <f>IF(COUNTA(date!$B$2:$B$57)&lt;53,"",INDEX(date!B$2:B$57,MATCH(LARGE(date!K$2:K$57,53),date!K$2:K$57,0)))</f>
        <v>チームN-1</v>
      </c>
      <c r="D55" s="31" t="str">
        <f>IF(COUNTA(date!$B$2:$B$57)&lt;53,"",INDEX(date!C$2:C$57,MATCH(LARGE(date!K$2:K$57,53),date!K$2:K$57,0)))</f>
        <v>Nパート</v>
      </c>
      <c r="E55" s="31">
        <f>IF(COUNTA(date!$B$2:$B$57)&lt;53,"",INDEX(date!D$2:D$57,MATCH(LARGE(date!K$2:K$57,53),date!K$2:K$57,0)))</f>
        <v>0</v>
      </c>
      <c r="F55" s="31">
        <f>IF(COUNTA(date!$B$2:$B$57)&lt;53,"",INDEX(date!E$2:E$57,MATCH(LARGE(date!K$2:K$57,53),date!K$2:K$57,0)))</f>
        <v>0</v>
      </c>
      <c r="G55" s="31">
        <f>IF(COUNTA(date!$B$2:$B$57)&lt;53,"",INDEX(date!F$2:F$57,MATCH(LARGE(date!K$2:K$57,53),date!K$2:K$57,0)))</f>
        <v>0</v>
      </c>
      <c r="H55" s="31">
        <f>IF(COUNTA(date!$B$2:$B$57)&lt;53,"",INDEX(date!G$2:G$57,MATCH(LARGE(date!K$2:K$57,53),date!K$2:K$57,0)))</f>
        <v>0</v>
      </c>
      <c r="I55" s="31">
        <f>IF(COUNTA(date!$B$2:$B$57)&lt;53,"",INDEX(date!H$2:H$57,MATCH(LARGE(date!K$2:K$57,53),date!K$2:K$57,0)))</f>
        <v>0</v>
      </c>
      <c r="J55" s="31">
        <f>IF(COUNTA(date!$B$2:$B$57)&lt;53,"",INDEX(date!I$2:I$57,MATCH(LARGE(date!K$2:K$57,53),date!K$2:K$57,0)))</f>
        <v>0</v>
      </c>
      <c r="K55" s="31">
        <f>IF(COUNTA(date!$B$2:$B$57)&lt;53,"",INDEX(date!J$2:J$57,MATCH(LARGE(date!K$2:K$57,53),date!K$2:K$57,0)))</f>
        <v>0</v>
      </c>
    </row>
    <row r="56" spans="1:11" ht="19.5" customHeight="1">
      <c r="A56" s="11"/>
      <c r="B56" s="8">
        <f>IF(COUNTA(date!$B$2:$B$57)&lt;54,"",IFERROR(COUNTIF(date!$K$2:$K$57,"&gt;"&amp;LARGE(date!$K$2:$K$57,54))+1,""))</f>
        <v>54</v>
      </c>
      <c r="C56" s="7" t="str">
        <f>IF(COUNTA(date!$B$2:$B$57)&lt;54,"",INDEX(date!B$2:B$57,MATCH(LARGE(date!K$2:K$57,54),date!K$2:K$57,0)))</f>
        <v>チームN-2</v>
      </c>
      <c r="D56" s="8" t="str">
        <f>IF(COUNTA(date!$B$2:$B$57)&lt;54,"",INDEX(date!C$2:C$57,MATCH(LARGE(date!K$2:K$57,54),date!K$2:K$57,0)))</f>
        <v>Nパート</v>
      </c>
      <c r="E56" s="8">
        <f>IF(COUNTA(date!$B$2:$B$57)&lt;54,"",INDEX(date!D$2:D$57,MATCH(LARGE(date!K$2:K$57,54),date!K$2:K$57,0)))</f>
        <v>0</v>
      </c>
      <c r="F56" s="8">
        <f>IF(COUNTA(date!$B$2:$B$57)&lt;54,"",INDEX(date!E$2:E$57,MATCH(LARGE(date!K$2:K$57,54),date!K$2:K$57,0)))</f>
        <v>0</v>
      </c>
      <c r="G56" s="8">
        <f>IF(COUNTA(date!$B$2:$B$57)&lt;54,"",INDEX(date!F$2:F$57,MATCH(LARGE(date!K$2:K$57,54),date!K$2:K$57,0)))</f>
        <v>0</v>
      </c>
      <c r="H56" s="8">
        <f>IF(COUNTA(date!$B$2:$B$57)&lt;54,"",INDEX(date!G$2:G$57,MATCH(LARGE(date!K$2:K$57,54),date!K$2:K$57,0)))</f>
        <v>0</v>
      </c>
      <c r="I56" s="8">
        <f>IF(COUNTA(date!$B$2:$B$57)&lt;54,"",INDEX(date!H$2:H$57,MATCH(LARGE(date!K$2:K$57,54),date!K$2:K$57,0)))</f>
        <v>0</v>
      </c>
      <c r="J56" s="8">
        <f>IF(COUNTA(date!$B$2:$B$57)&lt;54,"",INDEX(date!I$2:I$57,MATCH(LARGE(date!K$2:K$57,54),date!K$2:K$57,0)))</f>
        <v>0</v>
      </c>
      <c r="K56" s="8">
        <f>IF(COUNTA(date!$B$2:$B$57)&lt;54,"",INDEX(date!J$2:J$57,MATCH(LARGE(date!K$2:K$57,54),date!K$2:K$57,0)))</f>
        <v>0</v>
      </c>
    </row>
    <row r="57" spans="1:11" ht="19.5" customHeight="1">
      <c r="A57" s="11"/>
      <c r="B57" s="31">
        <f>IF(COUNTA(date!$B$2:$B$57)&lt;55,"",IFERROR(COUNTIF(date!$K$2:$K$57,"&gt;"&amp;LARGE(date!$K$2:$K$57,55))+1,""))</f>
        <v>55</v>
      </c>
      <c r="C57" s="32" t="str">
        <f>IF(COUNTA(date!$B$2:$B$57)&lt;55,"",INDEX(date!B$2:B$57,MATCH(LARGE(date!K$2:K$57,55),date!K$2:K$57,0)))</f>
        <v>チームN-3</v>
      </c>
      <c r="D57" s="31" t="str">
        <f>IF(COUNTA(date!$B$2:$B$57)&lt;55,"",INDEX(date!C$2:C$57,MATCH(LARGE(date!K$2:K$57,55),date!K$2:K$57,0)))</f>
        <v>Nパート</v>
      </c>
      <c r="E57" s="31">
        <f>IF(COUNTA(date!$B$2:$B$57)&lt;55,"",INDEX(date!D$2:D$57,MATCH(LARGE(date!K$2:K$57,55),date!K$2:K$57,0)))</f>
        <v>0</v>
      </c>
      <c r="F57" s="31">
        <f>IF(COUNTA(date!$B$2:$B$57)&lt;55,"",INDEX(date!E$2:E$57,MATCH(LARGE(date!K$2:K$57,55),date!K$2:K$57,0)))</f>
        <v>0</v>
      </c>
      <c r="G57" s="31">
        <f>IF(COUNTA(date!$B$2:$B$57)&lt;55,"",INDEX(date!F$2:F$57,MATCH(LARGE(date!K$2:K$57,55),date!K$2:K$57,0)))</f>
        <v>0</v>
      </c>
      <c r="H57" s="31">
        <f>IF(COUNTA(date!$B$2:$B$57)&lt;55,"",INDEX(date!G$2:G$57,MATCH(LARGE(date!K$2:K$57,55),date!K$2:K$57,0)))</f>
        <v>0</v>
      </c>
      <c r="I57" s="31">
        <f>IF(COUNTA(date!$B$2:$B$57)&lt;55,"",INDEX(date!H$2:H$57,MATCH(LARGE(date!K$2:K$57,55),date!K$2:K$57,0)))</f>
        <v>0</v>
      </c>
      <c r="J57" s="31">
        <f>IF(COUNTA(date!$B$2:$B$57)&lt;55,"",INDEX(date!I$2:I$57,MATCH(LARGE(date!K$2:K$57,55),date!K$2:K$57,0)))</f>
        <v>0</v>
      </c>
      <c r="K57" s="31">
        <f>IF(COUNTA(date!$B$2:$B$57)&lt;55,"",INDEX(date!J$2:J$57,MATCH(LARGE(date!K$2:K$57,55),date!K$2:K$57,0)))</f>
        <v>0</v>
      </c>
    </row>
    <row r="58" spans="1:11" ht="19.5" customHeight="1">
      <c r="A58" s="11"/>
      <c r="B58" s="8">
        <f>IF(COUNTA(date!$B$2:$B$57)&lt;56,"",IFERROR(COUNTIF(date!$K$2:$K$57,"&gt;"&amp;LARGE(date!$K$2:$K$57,56))+1,""))</f>
        <v>56</v>
      </c>
      <c r="C58" s="7" t="str">
        <f>IF(COUNTA(date!$B$2:$B$57)&lt;56,"",INDEX(date!B$2:B$57,MATCH(LARGE(date!K$2:K$57,56),date!K$2:K$57,0)))</f>
        <v>チームN-4</v>
      </c>
      <c r="D58" s="8" t="str">
        <f>IF(COUNTA(date!$B$2:$B$57)&lt;56,"",INDEX(date!C$2:C$57,MATCH(LARGE(date!K$2:K$57,56),date!K$2:K$57,0)))</f>
        <v>Nパート</v>
      </c>
      <c r="E58" s="8">
        <f>IF(COUNTA(date!$B$2:$B$57)&lt;56,"",INDEX(date!D$2:D$57,MATCH(LARGE(date!K$2:K$57,56),date!K$2:K$57,0)))</f>
        <v>0</v>
      </c>
      <c r="F58" s="8">
        <f>IF(COUNTA(date!$B$2:$B$57)&lt;56,"",INDEX(date!E$2:E$57,MATCH(LARGE(date!K$2:K$57,56),date!K$2:K$57,0)))</f>
        <v>0</v>
      </c>
      <c r="G58" s="8">
        <f>IF(COUNTA(date!$B$2:$B$57)&lt;56,"",INDEX(date!F$2:F$57,MATCH(LARGE(date!K$2:K$57,56),date!K$2:K$57,0)))</f>
        <v>0</v>
      </c>
      <c r="H58" s="8">
        <f>IF(COUNTA(date!$B$2:$B$57)&lt;56,"",INDEX(date!G$2:G$57,MATCH(LARGE(date!K$2:K$57,56),date!K$2:K$57,0)))</f>
        <v>0</v>
      </c>
      <c r="I58" s="8">
        <f>IF(COUNTA(date!$B$2:$B$57)&lt;56,"",INDEX(date!H$2:H$57,MATCH(LARGE(date!K$2:K$57,56),date!K$2:K$57,0)))</f>
        <v>0</v>
      </c>
      <c r="J58" s="8">
        <f>IF(COUNTA(date!$B$2:$B$57)&lt;56,"",INDEX(date!I$2:I$57,MATCH(LARGE(date!K$2:K$57,56),date!K$2:K$57,0)))</f>
        <v>0</v>
      </c>
      <c r="K58" s="8">
        <f>IF(COUNTA(date!$B$2:$B$57)&lt;56,"",INDEX(date!J$2:J$57,MATCH(LARGE(date!K$2:K$57,56),date!K$2:K$57,0)))</f>
        <v>0</v>
      </c>
    </row>
  </sheetData>
  <sheetProtection sheet="1"/>
  <mergeCells count="1">
    <mergeCell ref="J1:K1"/>
  </mergeCells>
  <phoneticPr fontId="31"/>
  <conditionalFormatting sqref="B3:K58">
    <cfRule type="expression" dxfId="1" priority="3">
      <formula>$C3=""</formula>
    </cfRule>
  </conditionalFormatting>
  <conditionalFormatting sqref="K3:K58">
    <cfRule type="cellIs" dxfId="0" priority="2" operator="lessThan">
      <formula>0</formula>
    </cfRule>
  </conditionalFormatting>
  <pageMargins left="0.7" right="0.7" top="0.75" bottom="0.75" header="0.511811023622047" footer="0.511811023622047"/>
  <pageSetup paperSize="9" scale="6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5"/>
  <sheetViews>
    <sheetView zoomScale="85" zoomScaleNormal="85" workbookViewId="0">
      <selection activeCell="H6" sqref="H6"/>
    </sheetView>
  </sheetViews>
  <sheetFormatPr defaultColWidth="8.5" defaultRowHeight="18.75"/>
  <cols>
    <col min="1" max="1" width="1.875" style="9" customWidth="1"/>
    <col min="2" max="2" width="5" style="9" customWidth="1"/>
    <col min="3" max="3" width="16" style="9" customWidth="1"/>
    <col min="4" max="4" width="7" style="9" customWidth="1"/>
    <col min="5" max="5" width="8" style="9" customWidth="1"/>
    <col min="6" max="6" width="2" style="9" customWidth="1"/>
    <col min="7" max="7" width="5" style="9" customWidth="1"/>
    <col min="8" max="8" width="16" style="9" customWidth="1"/>
    <col min="9" max="9" width="7" style="9" customWidth="1"/>
    <col min="10" max="10" width="8" style="9" customWidth="1"/>
    <col min="11" max="11" width="2" style="9" customWidth="1"/>
    <col min="12" max="12" width="5" style="9" customWidth="1"/>
    <col min="13" max="13" width="16" style="9" customWidth="1"/>
    <col min="14" max="14" width="7" style="9" customWidth="1"/>
    <col min="15" max="15" width="8" style="9" customWidth="1"/>
    <col min="16" max="16" width="8.5" style="9"/>
    <col min="17" max="16384" width="8.5" style="10"/>
  </cols>
  <sheetData>
    <row r="1" spans="1:16" s="60" customFormat="1" ht="21.75" customHeight="1">
      <c r="A1" s="56"/>
      <c r="B1" s="80" t="s">
        <v>85</v>
      </c>
      <c r="C1" s="80"/>
      <c r="D1" s="56"/>
      <c r="E1" s="56"/>
      <c r="F1" s="56"/>
      <c r="G1" s="80" t="s">
        <v>122</v>
      </c>
      <c r="H1" s="80"/>
      <c r="I1" s="56"/>
      <c r="J1" s="56"/>
      <c r="K1" s="56"/>
      <c r="L1" s="80" t="s">
        <v>86</v>
      </c>
      <c r="M1" s="80"/>
      <c r="N1" s="56"/>
      <c r="O1" s="56"/>
      <c r="P1" s="58"/>
    </row>
    <row r="2" spans="1:16" ht="21.75" customHeight="1">
      <c r="A2" s="11"/>
      <c r="B2" s="33" t="s">
        <v>69</v>
      </c>
      <c r="C2" s="33" t="s">
        <v>1</v>
      </c>
      <c r="D2" s="33" t="s">
        <v>6</v>
      </c>
      <c r="E2" s="33" t="s">
        <v>9</v>
      </c>
      <c r="F2" s="11"/>
      <c r="G2" s="33" t="s">
        <v>69</v>
      </c>
      <c r="H2" s="33" t="s">
        <v>1</v>
      </c>
      <c r="I2" s="33" t="s">
        <v>6</v>
      </c>
      <c r="J2" s="33" t="s">
        <v>9</v>
      </c>
      <c r="K2" s="11"/>
      <c r="L2" s="33" t="s">
        <v>69</v>
      </c>
      <c r="M2" s="33" t="s">
        <v>1</v>
      </c>
      <c r="N2" s="33" t="s">
        <v>6</v>
      </c>
      <c r="O2" s="33" t="s">
        <v>9</v>
      </c>
    </row>
    <row r="3" spans="1:16" ht="21.75" customHeight="1">
      <c r="A3" s="11"/>
      <c r="B3" s="34">
        <v>1</v>
      </c>
      <c r="C3" s="35" t="str">
        <f>IFERROR(INDEX(星取表!$B$3:$B$6,MATCH(1,星取表!$V$3:$V$6,0)),"")</f>
        <v>チームA-１</v>
      </c>
      <c r="D3" s="34">
        <f>IFERROR(INDEX(星取表!$R$3:$R$6,MATCH(1,星取表!$V$3:$V$6,0)),"")</f>
        <v>0</v>
      </c>
      <c r="E3" s="34">
        <f>IFERROR(INDEX(星取表!$U$3:$U$6,MATCH(1,星取表!$V$3:$V$6,0)),"")</f>
        <v>0</v>
      </c>
      <c r="F3" s="11"/>
      <c r="G3" s="34">
        <v>1</v>
      </c>
      <c r="H3" s="35" t="str">
        <f>IFERROR(INDEX(星取表!$B$9:$B$12,MATCH(1,星取表!$V$9:$V$12,0)),"")</f>
        <v>チームB-1</v>
      </c>
      <c r="I3" s="34">
        <f>IFERROR(INDEX(星取表!$R$9:$R$12,MATCH(1,星取表!$V$9:$V$12,0)),"")</f>
        <v>0</v>
      </c>
      <c r="J3" s="34">
        <f>IFERROR(INDEX(星取表!$U$9:$U$12,MATCH(1,星取表!$V$9:$V$12,0)),"")</f>
        <v>0</v>
      </c>
      <c r="K3" s="11"/>
      <c r="L3" s="34">
        <v>1</v>
      </c>
      <c r="M3" s="35" t="str">
        <f>IFERROR(INDEX(星取表!$B$15:$B$18,MATCH(1,星取表!$V$15:$V$18,0)),"")</f>
        <v>チームC-1</v>
      </c>
      <c r="N3" s="34">
        <f>IFERROR(INDEX(星取表!$R$15:$R$18,MATCH(1,星取表!$V$15:$V$18,0)),"")</f>
        <v>0</v>
      </c>
      <c r="O3" s="34">
        <f>IFERROR(INDEX(星取表!$U$15:$U$18,MATCH(1,星取表!$V$15:$V$18,0)),"")</f>
        <v>0</v>
      </c>
    </row>
    <row r="4" spans="1:16" ht="21.75" customHeight="1">
      <c r="A4" s="11"/>
      <c r="B4" s="36">
        <v>2</v>
      </c>
      <c r="C4" s="37" t="str">
        <f>IFERROR(INDEX(星取表!$B$3:$B$6,MATCH(2,星取表!$V$3:$V$6,0)),"")</f>
        <v/>
      </c>
      <c r="D4" s="36" t="str">
        <f>IFERROR(INDEX(星取表!$R$3:$R$6,MATCH(2,星取表!$V$3:$V$6,0)),"")</f>
        <v/>
      </c>
      <c r="E4" s="36" t="str">
        <f>IFERROR(INDEX(星取表!$U$3:$U$6,MATCH(2,星取表!$V$3:$V$6,0)),"")</f>
        <v/>
      </c>
      <c r="F4" s="11"/>
      <c r="G4" s="36">
        <v>2</v>
      </c>
      <c r="H4" s="37" t="str">
        <f>IFERROR(INDEX(星取表!$B$9:$B$12,MATCH(2,星取表!$V$9:$V$12,0)),"")</f>
        <v/>
      </c>
      <c r="I4" s="36" t="str">
        <f>IFERROR(INDEX(星取表!$R$9:$R$12,MATCH(2,星取表!$V$9:$V$12,0)),"")</f>
        <v/>
      </c>
      <c r="J4" s="36" t="str">
        <f>IFERROR(INDEX(星取表!$U$9:$U$12,MATCH(2,星取表!$V$9:$V$12,0)),"")</f>
        <v/>
      </c>
      <c r="K4" s="11"/>
      <c r="L4" s="36">
        <v>2</v>
      </c>
      <c r="M4" s="37" t="str">
        <f>IFERROR(INDEX(星取表!$B$15:$B$18,MATCH(2,星取表!$V$15:$V$18,0)),"")</f>
        <v/>
      </c>
      <c r="N4" s="36" t="str">
        <f>IFERROR(INDEX(星取表!$R$15:$R$18,MATCH(2,星取表!$V$15:$V$18,0)),"")</f>
        <v/>
      </c>
      <c r="O4" s="36" t="str">
        <f>IFERROR(INDEX(星取表!$U$15:$U$18,MATCH(2,星取表!$V$15:$V$18,0)),"")</f>
        <v/>
      </c>
    </row>
    <row r="5" spans="1:16" ht="21.75" customHeight="1">
      <c r="A5" s="11"/>
      <c r="B5" s="34">
        <v>3</v>
      </c>
      <c r="C5" s="35" t="str">
        <f>IFERROR(INDEX(星取表!$B$3:$B$6,MATCH(3,星取表!$V$3:$V$6,0)),"")</f>
        <v/>
      </c>
      <c r="D5" s="34" t="str">
        <f>IFERROR(INDEX(星取表!$R$3:$R$6,MATCH(3,星取表!$V$3:$V$6,0)),"")</f>
        <v/>
      </c>
      <c r="E5" s="34" t="str">
        <f>IFERROR(INDEX(星取表!$U$3:$U$6,MATCH(3,星取表!$V$3:$V$6,0)),"")</f>
        <v/>
      </c>
      <c r="F5" s="11"/>
      <c r="G5" s="34">
        <v>3</v>
      </c>
      <c r="H5" s="35" t="str">
        <f>IFERROR(INDEX(星取表!$B$9:$B$12,MATCH(3,星取表!$V$9:$V$12,0)),"")</f>
        <v/>
      </c>
      <c r="I5" s="34" t="str">
        <f>IFERROR(INDEX(星取表!$R$9:$R$12,MATCH(3,星取表!$V$9:$V$12,0)),"")</f>
        <v/>
      </c>
      <c r="J5" s="34" t="str">
        <f>IFERROR(INDEX(星取表!$U$9:$U$12,MATCH(3,星取表!$V$9:$V$12,0)),"")</f>
        <v/>
      </c>
      <c r="K5" s="11"/>
      <c r="L5" s="34">
        <v>3</v>
      </c>
      <c r="M5" s="35" t="str">
        <f>IFERROR(INDEX(星取表!$B$15:$B$18,MATCH(3,星取表!$V$15:$V$18,0)),"")</f>
        <v/>
      </c>
      <c r="N5" s="34" t="str">
        <f>IFERROR(INDEX(星取表!$R$15:$R$18,MATCH(3,星取表!$V$15:$V$18,0)),"")</f>
        <v/>
      </c>
      <c r="O5" s="34" t="str">
        <f>IFERROR(INDEX(星取表!$U$15:$U$18,MATCH(3,星取表!$V$15:$V$18,0)),"")</f>
        <v/>
      </c>
    </row>
    <row r="6" spans="1:16" ht="21.75" customHeight="1">
      <c r="A6" s="11"/>
      <c r="B6" s="36">
        <v>4</v>
      </c>
      <c r="C6" s="37" t="str">
        <f>IFERROR(INDEX(星取表!$B$3:$B$6,MATCH(4,星取表!$V$3:$V$6,0)),"")</f>
        <v/>
      </c>
      <c r="D6" s="36" t="str">
        <f>IFERROR(INDEX(星取表!$R$3:$R$6,MATCH(4,星取表!$V$3:$V$6,0)),"")</f>
        <v/>
      </c>
      <c r="E6" s="36" t="str">
        <f>IFERROR(INDEX(星取表!$U$3:$U$6,MATCH(4,星取表!$V$3:$V$6,0)),"")</f>
        <v/>
      </c>
      <c r="F6" s="11"/>
      <c r="G6" s="36">
        <v>4</v>
      </c>
      <c r="H6" s="37" t="str">
        <f>IFERROR(INDEX(星取表!$B$9:$B$12,MATCH(4,星取表!$V$9:$V$12,0)),"")</f>
        <v/>
      </c>
      <c r="I6" s="36" t="str">
        <f>IFERROR(INDEX(星取表!$R$9:$R$12,MATCH(4,星取表!$V$9:$V$12,0)),"")</f>
        <v/>
      </c>
      <c r="J6" s="36" t="str">
        <f>IFERROR(INDEX(星取表!$U$9:$U$12,MATCH(4,星取表!$V$9:$V$12,0)),"")</f>
        <v/>
      </c>
      <c r="K6" s="11"/>
      <c r="L6" s="36">
        <v>4</v>
      </c>
      <c r="M6" s="37" t="str">
        <f>IFERROR(INDEX(星取表!$B$15:$B$18,MATCH(4,星取表!$V$15:$V$18,0)),"")</f>
        <v/>
      </c>
      <c r="N6" s="36" t="str">
        <f>IFERROR(INDEX(星取表!$R$15:$R$18,MATCH(4,星取表!$V$15:$V$18,0)),"")</f>
        <v/>
      </c>
      <c r="O6" s="36" t="str">
        <f>IFERROR(INDEX(星取表!$U$15:$U$18,MATCH(4,星取表!$V$15:$V$18,0)),"")</f>
        <v/>
      </c>
    </row>
    <row r="7" spans="1:16" ht="21.75" customHeight="1">
      <c r="A7" s="11"/>
      <c r="B7" s="38"/>
      <c r="C7" s="39"/>
      <c r="D7" s="38"/>
      <c r="E7" s="38"/>
      <c r="F7" s="11"/>
      <c r="G7" s="38"/>
      <c r="H7" s="39"/>
      <c r="I7" s="38"/>
      <c r="J7" s="38"/>
      <c r="K7" s="11"/>
      <c r="L7" s="38"/>
      <c r="M7" s="39"/>
      <c r="N7" s="38"/>
      <c r="O7" s="38"/>
    </row>
    <row r="8" spans="1:16" s="60" customFormat="1" ht="21.75" customHeight="1">
      <c r="A8" s="56"/>
      <c r="B8" s="80" t="s">
        <v>87</v>
      </c>
      <c r="C8" s="80"/>
      <c r="D8" s="56"/>
      <c r="E8" s="56"/>
      <c r="F8" s="56"/>
      <c r="G8" s="80" t="s">
        <v>88</v>
      </c>
      <c r="H8" s="80"/>
      <c r="I8" s="56"/>
      <c r="J8" s="56"/>
      <c r="K8" s="56"/>
      <c r="L8" s="80" t="s">
        <v>89</v>
      </c>
      <c r="M8" s="80"/>
      <c r="N8" s="56"/>
      <c r="O8" s="56"/>
      <c r="P8" s="58"/>
    </row>
    <row r="9" spans="1:16" ht="21.75" customHeight="1">
      <c r="A9" s="11"/>
      <c r="B9" s="33" t="s">
        <v>69</v>
      </c>
      <c r="C9" s="33" t="s">
        <v>1</v>
      </c>
      <c r="D9" s="33" t="s">
        <v>6</v>
      </c>
      <c r="E9" s="33" t="s">
        <v>9</v>
      </c>
      <c r="F9" s="11"/>
      <c r="G9" s="33" t="s">
        <v>69</v>
      </c>
      <c r="H9" s="33" t="s">
        <v>1</v>
      </c>
      <c r="I9" s="33" t="s">
        <v>6</v>
      </c>
      <c r="J9" s="33" t="s">
        <v>9</v>
      </c>
      <c r="K9" s="11"/>
      <c r="L9" s="33" t="s">
        <v>69</v>
      </c>
      <c r="M9" s="33" t="s">
        <v>1</v>
      </c>
      <c r="N9" s="33" t="s">
        <v>6</v>
      </c>
      <c r="O9" s="33" t="s">
        <v>9</v>
      </c>
    </row>
    <row r="10" spans="1:16" ht="21.75" customHeight="1">
      <c r="A10" s="11"/>
      <c r="B10" s="34">
        <v>1</v>
      </c>
      <c r="C10" s="35" t="str">
        <f>IFERROR(INDEX(星取表!$B$21:$B$24,MATCH(1,星取表!$V$21:$V$24,0)),"")</f>
        <v>チームD-1</v>
      </c>
      <c r="D10" s="34">
        <f>IFERROR(INDEX(星取表!$R$21:$R$24,MATCH(1,星取表!$V$21:$V$24,0)),"")</f>
        <v>0</v>
      </c>
      <c r="E10" s="34">
        <f>IFERROR(INDEX(星取表!$U$21:$U$24,MATCH(1,星取表!$V$21:$V$24,0)),"")</f>
        <v>0</v>
      </c>
      <c r="F10" s="11"/>
      <c r="G10" s="34">
        <v>1</v>
      </c>
      <c r="H10" s="35" t="str">
        <f>IFERROR(INDEX(星取表!$B$27:$B$30,MATCH(1,星取表!$V$27:$V$30,0)),"")</f>
        <v>チームE-1</v>
      </c>
      <c r="I10" s="34">
        <f>IFERROR(INDEX(星取表!$R$27:$R$30,MATCH(1,星取表!$V$27:$V$30,0)),"")</f>
        <v>0</v>
      </c>
      <c r="J10" s="34">
        <f>IFERROR(INDEX(星取表!$U$27:$U$30,MATCH(1,星取表!$V$27:$V$30,0)),"")</f>
        <v>0</v>
      </c>
      <c r="K10" s="11"/>
      <c r="L10" s="34">
        <v>1</v>
      </c>
      <c r="M10" s="35" t="str">
        <f>IFERROR(INDEX(星取表!$B$33:$B$36,MATCH(1,星取表!$V$33:$V$36,0)),"")</f>
        <v>チームF-1</v>
      </c>
      <c r="N10" s="34">
        <f>IFERROR(INDEX(星取表!$R$33:$R$36,MATCH(1,星取表!$V$33:$V$36,0)),"")</f>
        <v>0</v>
      </c>
      <c r="O10" s="34">
        <f>IFERROR(INDEX(星取表!$U$33:$U$36,MATCH(1,星取表!$V$33:$V$36,0)),"")</f>
        <v>0</v>
      </c>
    </row>
    <row r="11" spans="1:16" ht="21.75" customHeight="1">
      <c r="A11" s="11"/>
      <c r="B11" s="36">
        <v>2</v>
      </c>
      <c r="C11" s="37" t="str">
        <f>IFERROR(INDEX(星取表!$B$21:$B$24,MATCH(2,星取表!$V$21:$V$24,0)),"")</f>
        <v/>
      </c>
      <c r="D11" s="36" t="str">
        <f>IFERROR(INDEX(星取表!$R$21:$R$24,MATCH(2,星取表!$V$21:$V$24,0)),"")</f>
        <v/>
      </c>
      <c r="E11" s="36" t="str">
        <f>IFERROR(INDEX(星取表!$U$21:$U$24,MATCH(2,星取表!$V$21:$V$24,0)),"")</f>
        <v/>
      </c>
      <c r="F11" s="11"/>
      <c r="G11" s="36">
        <v>2</v>
      </c>
      <c r="H11" s="37" t="str">
        <f>IFERROR(INDEX(星取表!$B$27:$B$30,MATCH(2,星取表!$V$27:$V$30,0)),"")</f>
        <v/>
      </c>
      <c r="I11" s="36" t="str">
        <f>IFERROR(INDEX(星取表!$R$27:$R$30,MATCH(2,星取表!$V$27:$V$30,0)),"")</f>
        <v/>
      </c>
      <c r="J11" s="36" t="str">
        <f>IFERROR(INDEX(星取表!$U$27:$U$30,MATCH(2,星取表!$V$27:$V$30,0)),"")</f>
        <v/>
      </c>
      <c r="K11" s="11"/>
      <c r="L11" s="36">
        <v>2</v>
      </c>
      <c r="M11" s="37" t="str">
        <f>IFERROR(INDEX(星取表!$B$33:$B$36,MATCH(2,星取表!$V$33:$V$36,0)),"")</f>
        <v/>
      </c>
      <c r="N11" s="36" t="str">
        <f>IFERROR(INDEX(星取表!$R$33:$R$36,MATCH(2,星取表!$V$33:$V$36,0)),"")</f>
        <v/>
      </c>
      <c r="O11" s="36" t="str">
        <f>IFERROR(INDEX(星取表!$U$33:$U$36,MATCH(2,星取表!$V$33:$V$36,0)),"")</f>
        <v/>
      </c>
    </row>
    <row r="12" spans="1:16" ht="21.75" customHeight="1">
      <c r="A12" s="11"/>
      <c r="B12" s="34">
        <v>3</v>
      </c>
      <c r="C12" s="35" t="str">
        <f>IFERROR(INDEX(星取表!$B$21:$B$24,MATCH(3,星取表!$V$21:$V$24,0)),"")</f>
        <v/>
      </c>
      <c r="D12" s="34" t="str">
        <f>IFERROR(INDEX(星取表!$R$21:$R$24,MATCH(3,星取表!$V$21:$V$24,0)),"")</f>
        <v/>
      </c>
      <c r="E12" s="34" t="str">
        <f>IFERROR(INDEX(星取表!$U$21:$U$24,MATCH(3,星取表!$V$21:$V$24,0)),"")</f>
        <v/>
      </c>
      <c r="F12" s="11"/>
      <c r="G12" s="34">
        <v>3</v>
      </c>
      <c r="H12" s="35" t="str">
        <f>IFERROR(INDEX(星取表!$B$27:$B$30,MATCH(3,星取表!$V$27:$V$30,0)),"")</f>
        <v/>
      </c>
      <c r="I12" s="34" t="str">
        <f>IFERROR(INDEX(星取表!$R$27:$R$30,MATCH(3,星取表!$V$27:$V$30,0)),"")</f>
        <v/>
      </c>
      <c r="J12" s="34" t="str">
        <f>IFERROR(INDEX(星取表!$U$27:$U$30,MATCH(3,星取表!$V$27:$V$30,0)),"")</f>
        <v/>
      </c>
      <c r="K12" s="11"/>
      <c r="L12" s="34">
        <v>3</v>
      </c>
      <c r="M12" s="35" t="str">
        <f>IFERROR(INDEX(星取表!$B$33:$B$36,MATCH(3,星取表!$V$33:$V$36,0)),"")</f>
        <v/>
      </c>
      <c r="N12" s="34" t="str">
        <f>IFERROR(INDEX(星取表!$R$33:$R$36,MATCH(3,星取表!$V$33:$V$36,0)),"")</f>
        <v/>
      </c>
      <c r="O12" s="34" t="str">
        <f>IFERROR(INDEX(星取表!$U$33:$U$36,MATCH(3,星取表!$V$33:$V$36,0)),"")</f>
        <v/>
      </c>
    </row>
    <row r="13" spans="1:16" ht="21.75" customHeight="1">
      <c r="A13" s="11"/>
      <c r="B13" s="36">
        <v>4</v>
      </c>
      <c r="C13" s="37" t="str">
        <f>IFERROR(INDEX(星取表!$B$21:$B$24,MATCH(4,星取表!$V$21:$V$24,0)),"")</f>
        <v/>
      </c>
      <c r="D13" s="36" t="str">
        <f>IFERROR(INDEX(星取表!$R$21:$R$24,MATCH(4,星取表!$V$21:$V$24,0)),"")</f>
        <v/>
      </c>
      <c r="E13" s="36" t="str">
        <f>IFERROR(INDEX(星取表!$U$21:$U$24,MATCH(4,星取表!$V$21:$V$24,0)),"")</f>
        <v/>
      </c>
      <c r="F13" s="11"/>
      <c r="G13" s="36">
        <v>4</v>
      </c>
      <c r="H13" s="37" t="str">
        <f>IFERROR(INDEX(星取表!$B$27:$B$30,MATCH(4,星取表!$V$27:$V$30,0)),"")</f>
        <v/>
      </c>
      <c r="I13" s="36" t="str">
        <f>IFERROR(INDEX(星取表!$R$27:$R$30,MATCH(4,星取表!$V$27:$V$30,0)),"")</f>
        <v/>
      </c>
      <c r="J13" s="36" t="str">
        <f>IFERROR(INDEX(星取表!$U$27:$U$30,MATCH(4,星取表!$V$27:$V$30,0)),"")</f>
        <v/>
      </c>
      <c r="K13" s="11"/>
      <c r="L13" s="36">
        <v>4</v>
      </c>
      <c r="M13" s="37" t="str">
        <f>IFERROR(INDEX(星取表!$B$33:$B$36,MATCH(4,星取表!$V$33:$V$36,0)),"")</f>
        <v/>
      </c>
      <c r="N13" s="36" t="str">
        <f>IFERROR(INDEX(星取表!$R$33:$R$36,MATCH(4,星取表!$V$33:$V$36,0)),"")</f>
        <v/>
      </c>
      <c r="O13" s="36" t="str">
        <f>IFERROR(INDEX(星取表!$U$33:$U$36,MATCH(4,星取表!$V$33:$V$36,0)),"")</f>
        <v/>
      </c>
    </row>
    <row r="14" spans="1:16" ht="21.75" customHeight="1">
      <c r="A14" s="11"/>
      <c r="B14" s="38"/>
      <c r="C14" s="39"/>
      <c r="D14" s="38"/>
      <c r="E14" s="38"/>
      <c r="F14" s="11"/>
      <c r="G14" s="38"/>
      <c r="H14" s="39"/>
      <c r="I14" s="38"/>
      <c r="J14" s="38"/>
      <c r="K14" s="11"/>
      <c r="L14" s="38"/>
      <c r="M14" s="39"/>
      <c r="N14" s="38"/>
      <c r="O14" s="38"/>
    </row>
    <row r="15" spans="1:16" s="60" customFormat="1" ht="21.75" customHeight="1">
      <c r="A15" s="56"/>
      <c r="B15" s="80" t="s">
        <v>90</v>
      </c>
      <c r="C15" s="80"/>
      <c r="D15" s="56"/>
      <c r="E15" s="56"/>
      <c r="F15" s="56"/>
      <c r="G15" s="80" t="s">
        <v>91</v>
      </c>
      <c r="H15" s="80"/>
      <c r="I15" s="56"/>
      <c r="J15" s="56"/>
      <c r="K15" s="56"/>
      <c r="L15" s="80" t="s">
        <v>92</v>
      </c>
      <c r="M15" s="80"/>
      <c r="N15" s="56"/>
      <c r="O15" s="56"/>
      <c r="P15" s="58"/>
    </row>
    <row r="16" spans="1:16" ht="21.75" customHeight="1">
      <c r="A16" s="11"/>
      <c r="B16" s="33" t="s">
        <v>69</v>
      </c>
      <c r="C16" s="33" t="s">
        <v>1</v>
      </c>
      <c r="D16" s="33" t="s">
        <v>6</v>
      </c>
      <c r="E16" s="33" t="s">
        <v>9</v>
      </c>
      <c r="F16" s="11"/>
      <c r="G16" s="33" t="s">
        <v>69</v>
      </c>
      <c r="H16" s="33" t="s">
        <v>1</v>
      </c>
      <c r="I16" s="33" t="s">
        <v>6</v>
      </c>
      <c r="J16" s="33" t="s">
        <v>9</v>
      </c>
      <c r="K16" s="11"/>
      <c r="L16" s="33" t="s">
        <v>69</v>
      </c>
      <c r="M16" s="33" t="s">
        <v>1</v>
      </c>
      <c r="N16" s="33" t="s">
        <v>6</v>
      </c>
      <c r="O16" s="33" t="s">
        <v>9</v>
      </c>
    </row>
    <row r="17" spans="1:16" ht="21.75" customHeight="1">
      <c r="A17" s="11"/>
      <c r="B17" s="34">
        <v>1</v>
      </c>
      <c r="C17" s="35" t="str">
        <f>IFERROR(INDEX(星取表!$B$39:$B$42,MATCH(1,星取表!$V$39:$V$42,0)),"")</f>
        <v>チームG-1</v>
      </c>
      <c r="D17" s="34">
        <f>IFERROR(INDEX(星取表!$R$39:$R$42,MATCH(1,星取表!$V$39:$V$42,0)),"")</f>
        <v>0</v>
      </c>
      <c r="E17" s="34">
        <f>IFERROR(INDEX(星取表!$U$39:$U$42,MATCH(1,星取表!$V$39:$V$42,0)),"")</f>
        <v>0</v>
      </c>
      <c r="F17" s="11"/>
      <c r="G17" s="34">
        <v>1</v>
      </c>
      <c r="H17" s="35" t="str">
        <f>IFERROR(INDEX(星取表!$B$45:$B$48,MATCH(1,星取表!$V$45:$V$48,0)),"")</f>
        <v>チームH-1</v>
      </c>
      <c r="I17" s="34">
        <f>IFERROR(INDEX(星取表!$R$45:$R$48,MATCH(1,星取表!$V$45:$V$48,0)),"")</f>
        <v>0</v>
      </c>
      <c r="J17" s="34">
        <f>IFERROR(INDEX(星取表!$U$45:$U$48,MATCH(1,星取表!$V$45:$V$48,0)),"")</f>
        <v>0</v>
      </c>
      <c r="K17" s="11"/>
      <c r="L17" s="34">
        <v>1</v>
      </c>
      <c r="M17" s="35" t="str">
        <f>IFERROR(INDEX(星取表!$B$51:$B$54,MATCH(1,星取表!$V$51:$V$54,0)),"")</f>
        <v>チームI-1</v>
      </c>
      <c r="N17" s="34">
        <f>IFERROR(INDEX(星取表!$R$51:$R$54,MATCH(1,星取表!$V$51:$V$54,0)),"")</f>
        <v>0</v>
      </c>
      <c r="O17" s="34">
        <f>IFERROR(INDEX(星取表!$U$51:$U$54,MATCH(1,星取表!$V$51:$V$54,0)),"")</f>
        <v>0</v>
      </c>
    </row>
    <row r="18" spans="1:16" ht="21.75" customHeight="1">
      <c r="A18" s="11"/>
      <c r="B18" s="36">
        <v>2</v>
      </c>
      <c r="C18" s="37" t="str">
        <f>IFERROR(INDEX(星取表!$B$39:$B$42,MATCH(2,星取表!$V$39:$V$42,0)),"")</f>
        <v/>
      </c>
      <c r="D18" s="36" t="str">
        <f>IFERROR(INDEX(星取表!$R$39:$R$42,MATCH(2,星取表!$V$39:$V$42,0)),"")</f>
        <v/>
      </c>
      <c r="E18" s="36" t="str">
        <f>IFERROR(INDEX(星取表!$U$39:$U$42,MATCH(2,星取表!$V$39:$V$42,0)),"")</f>
        <v/>
      </c>
      <c r="F18" s="11"/>
      <c r="G18" s="36">
        <v>2</v>
      </c>
      <c r="H18" s="37" t="str">
        <f>IFERROR(INDEX(星取表!$B$45:$B$48,MATCH(2,星取表!$V$45:$V$48,0)),"")</f>
        <v/>
      </c>
      <c r="I18" s="36" t="str">
        <f>IFERROR(INDEX(星取表!$R$45:$R$48,MATCH(2,星取表!$V$45:$V$48,0)),"")</f>
        <v/>
      </c>
      <c r="J18" s="36" t="str">
        <f>IFERROR(INDEX(星取表!$U$45:$U$48,MATCH(2,星取表!$V$45:$V$48,0)),"")</f>
        <v/>
      </c>
      <c r="K18" s="11"/>
      <c r="L18" s="36">
        <v>2</v>
      </c>
      <c r="M18" s="37" t="str">
        <f>IFERROR(INDEX(星取表!$B$51:$B$54,MATCH(2,星取表!$V$51:$V$54,0)),"")</f>
        <v/>
      </c>
      <c r="N18" s="36" t="str">
        <f>IFERROR(INDEX(星取表!$R$51:$R$54,MATCH(2,星取表!$V$51:$V$54,0)),"")</f>
        <v/>
      </c>
      <c r="O18" s="36" t="str">
        <f>IFERROR(INDEX(星取表!$U$51:$U$54,MATCH(2,星取表!$V$51:$V$54,0)),"")</f>
        <v/>
      </c>
    </row>
    <row r="19" spans="1:16" ht="21.75" customHeight="1">
      <c r="A19" s="11"/>
      <c r="B19" s="34">
        <v>3</v>
      </c>
      <c r="C19" s="35" t="str">
        <f>IFERROR(INDEX(星取表!$B$39:$B$42,MATCH(3,星取表!$V$39:$V$42,0)),"")</f>
        <v/>
      </c>
      <c r="D19" s="34" t="str">
        <f>IFERROR(INDEX(星取表!$R$39:$R$42,MATCH(3,星取表!$V$39:$V$42,0)),"")</f>
        <v/>
      </c>
      <c r="E19" s="34" t="str">
        <f>IFERROR(INDEX(星取表!$U$39:$U$42,MATCH(3,星取表!$V$39:$V$42,0)),"")</f>
        <v/>
      </c>
      <c r="F19" s="11"/>
      <c r="G19" s="34">
        <v>3</v>
      </c>
      <c r="H19" s="35" t="str">
        <f>IFERROR(INDEX(星取表!$B$45:$B$48,MATCH(3,星取表!$V$45:$V$48,0)),"")</f>
        <v/>
      </c>
      <c r="I19" s="34" t="str">
        <f>IFERROR(INDEX(星取表!$R$45:$R$48,MATCH(3,星取表!$V$45:$V$48,0)),"")</f>
        <v/>
      </c>
      <c r="J19" s="34" t="str">
        <f>IFERROR(INDEX(星取表!$U$45:$U$48,MATCH(3,星取表!$V$45:$V$48,0)),"")</f>
        <v/>
      </c>
      <c r="K19" s="11"/>
      <c r="L19" s="34">
        <v>3</v>
      </c>
      <c r="M19" s="35" t="str">
        <f>IFERROR(INDEX(星取表!$B$51:$B$54,MATCH(3,星取表!$V$51:$V$54,0)),"")</f>
        <v/>
      </c>
      <c r="N19" s="34" t="str">
        <f>IFERROR(INDEX(星取表!$R$51:$R$54,MATCH(3,星取表!$V$51:$V$54,0)),"")</f>
        <v/>
      </c>
      <c r="O19" s="34" t="str">
        <f>IFERROR(INDEX(星取表!$U$51:$U$54,MATCH(3,星取表!$V$51:$V$54,0)),"")</f>
        <v/>
      </c>
    </row>
    <row r="20" spans="1:16" ht="21.75" customHeight="1">
      <c r="A20" s="11"/>
      <c r="B20" s="36">
        <v>4</v>
      </c>
      <c r="C20" s="37" t="str">
        <f>IFERROR(INDEX(星取表!$B$39:$B$42,MATCH(4,星取表!$V$39:$V$42,0)),"")</f>
        <v/>
      </c>
      <c r="D20" s="36" t="str">
        <f>IFERROR(INDEX(星取表!$R$39:$R$42,MATCH(4,星取表!$V$39:$V$42,0)),"")</f>
        <v/>
      </c>
      <c r="E20" s="36" t="str">
        <f>IFERROR(INDEX(星取表!$U$39:$U$42,MATCH(4,星取表!$V$39:$V$42,0)),"")</f>
        <v/>
      </c>
      <c r="F20" s="11"/>
      <c r="G20" s="36">
        <v>4</v>
      </c>
      <c r="H20" s="37" t="str">
        <f>IFERROR(INDEX(星取表!$B$45:$B$48,MATCH(4,星取表!$V$45:$V$48,0)),"")</f>
        <v/>
      </c>
      <c r="I20" s="36" t="str">
        <f>IFERROR(INDEX(星取表!$R$45:$R$48,MATCH(4,星取表!$V$45:$V$48,0)),"")</f>
        <v/>
      </c>
      <c r="J20" s="36" t="str">
        <f>IFERROR(INDEX(星取表!$U$45:$U$48,MATCH(4,星取表!$V$45:$V$48,0)),"")</f>
        <v/>
      </c>
      <c r="K20" s="11"/>
      <c r="L20" s="36">
        <v>4</v>
      </c>
      <c r="M20" s="37" t="str">
        <f>IFERROR(INDEX(星取表!$B$51:$B$54,MATCH(4,星取表!$V$51:$V$54,0)),"")</f>
        <v/>
      </c>
      <c r="N20" s="36" t="str">
        <f>IFERROR(INDEX(星取表!$R$51:$R$54,MATCH(4,星取表!$V$51:$V$54,0)),"")</f>
        <v/>
      </c>
      <c r="O20" s="36" t="str">
        <f>IFERROR(INDEX(星取表!$U$51:$U$54,MATCH(4,星取表!$V$51:$V$54,0)),"")</f>
        <v/>
      </c>
    </row>
    <row r="21" spans="1:16" ht="21.75" customHeight="1">
      <c r="A21" s="11"/>
      <c r="B21" s="38"/>
      <c r="C21" s="39"/>
      <c r="D21" s="38"/>
      <c r="E21" s="38"/>
      <c r="F21" s="11"/>
      <c r="G21" s="38"/>
      <c r="H21" s="39"/>
      <c r="I21" s="38"/>
      <c r="J21" s="38"/>
      <c r="K21" s="11"/>
      <c r="L21" s="38"/>
      <c r="M21" s="39"/>
      <c r="N21" s="38"/>
      <c r="O21" s="38"/>
    </row>
    <row r="22" spans="1:16" s="60" customFormat="1" ht="21.75" customHeight="1">
      <c r="A22" s="56"/>
      <c r="B22" s="80" t="s">
        <v>93</v>
      </c>
      <c r="C22" s="80"/>
      <c r="D22" s="56"/>
      <c r="E22" s="56"/>
      <c r="F22" s="56"/>
      <c r="G22" s="80" t="s">
        <v>94</v>
      </c>
      <c r="H22" s="80"/>
      <c r="I22" s="56"/>
      <c r="J22" s="56"/>
      <c r="K22" s="56"/>
      <c r="L22" s="80" t="s">
        <v>95</v>
      </c>
      <c r="M22" s="80"/>
      <c r="N22" s="56"/>
      <c r="O22" s="56"/>
      <c r="P22" s="58"/>
    </row>
    <row r="23" spans="1:16" ht="21.75" customHeight="1">
      <c r="A23" s="11"/>
      <c r="B23" s="33" t="s">
        <v>69</v>
      </c>
      <c r="C23" s="33" t="s">
        <v>1</v>
      </c>
      <c r="D23" s="33" t="s">
        <v>6</v>
      </c>
      <c r="E23" s="33" t="s">
        <v>9</v>
      </c>
      <c r="F23" s="11"/>
      <c r="G23" s="33" t="s">
        <v>69</v>
      </c>
      <c r="H23" s="33" t="s">
        <v>1</v>
      </c>
      <c r="I23" s="33" t="s">
        <v>6</v>
      </c>
      <c r="J23" s="33" t="s">
        <v>9</v>
      </c>
      <c r="K23" s="11"/>
      <c r="L23" s="33" t="s">
        <v>69</v>
      </c>
      <c r="M23" s="33" t="s">
        <v>1</v>
      </c>
      <c r="N23" s="33" t="s">
        <v>6</v>
      </c>
      <c r="O23" s="33" t="s">
        <v>9</v>
      </c>
    </row>
    <row r="24" spans="1:16" ht="21.75" customHeight="1">
      <c r="A24" s="11"/>
      <c r="B24" s="34">
        <v>1</v>
      </c>
      <c r="C24" s="35" t="str">
        <f>IFERROR(INDEX(星取表!$B$57:$B$60,MATCH(1,星取表!$V$57:$V$60,0)),"")</f>
        <v>チームJ-1</v>
      </c>
      <c r="D24" s="34">
        <f>IFERROR(INDEX(星取表!$R$57:$R$60,MATCH(1,星取表!$V$57:$V$60,0)),"")</f>
        <v>0</v>
      </c>
      <c r="E24" s="34">
        <f>IFERROR(INDEX(星取表!$U$57:$U$60,MATCH(1,星取表!$V$57:$V$60,0)),"")</f>
        <v>0</v>
      </c>
      <c r="F24" s="11"/>
      <c r="G24" s="34">
        <v>1</v>
      </c>
      <c r="H24" s="35" t="str">
        <f>IFERROR(INDEX(星取表!$B$63:$B$66,MATCH(1,星取表!$V$63:$V$66,0)),"")</f>
        <v>チームK-1</v>
      </c>
      <c r="I24" s="34">
        <f>IFERROR(INDEX(星取表!$R$63:$R$66,MATCH(1,星取表!$V$63:$V$66,0)),"")</f>
        <v>0</v>
      </c>
      <c r="J24" s="34">
        <f>IFERROR(INDEX(星取表!$U$63:$U$66,MATCH(1,星取表!$V$63:$V$66,0)),"")</f>
        <v>0</v>
      </c>
      <c r="K24" s="11"/>
      <c r="L24" s="34">
        <v>1</v>
      </c>
      <c r="M24" s="35" t="str">
        <f>IFERROR(INDEX(星取表!$B$69:$B$72,MATCH(1,星取表!$V$69:$V$72,0)),"")</f>
        <v>チームL-1</v>
      </c>
      <c r="N24" s="34">
        <f>IFERROR(INDEX(星取表!$R$69:$R$72,MATCH(1,星取表!$V$69:$V$72,0)),"")</f>
        <v>0</v>
      </c>
      <c r="O24" s="34">
        <f>IFERROR(INDEX(星取表!$U$69:$U$72,MATCH(1,星取表!$V$69:$V$72,0)),"")</f>
        <v>0</v>
      </c>
    </row>
    <row r="25" spans="1:16" ht="21.75" customHeight="1">
      <c r="A25" s="11"/>
      <c r="B25" s="36">
        <v>2</v>
      </c>
      <c r="C25" s="37" t="str">
        <f>IFERROR(INDEX(星取表!$B$57:$B$60,MATCH(2,星取表!$V$57:$V$60,0)),"")</f>
        <v/>
      </c>
      <c r="D25" s="36" t="str">
        <f>IFERROR(INDEX(星取表!$R$57:$R$60,MATCH(2,星取表!$V$57:$V$60,0)),"")</f>
        <v/>
      </c>
      <c r="E25" s="36" t="str">
        <f>IFERROR(INDEX(星取表!$U$57:$U$60,MATCH(2,星取表!$V$57:$V$60,0)),"")</f>
        <v/>
      </c>
      <c r="F25" s="11"/>
      <c r="G25" s="36">
        <v>2</v>
      </c>
      <c r="H25" s="37" t="str">
        <f>IFERROR(INDEX(星取表!$B$63:$B$66,MATCH(2,星取表!$V$63:$V$66,0)),"")</f>
        <v/>
      </c>
      <c r="I25" s="36" t="str">
        <f>IFERROR(INDEX(星取表!$R$63:$R$66,MATCH(2,星取表!$V$63:$V$66,0)),"")</f>
        <v/>
      </c>
      <c r="J25" s="36" t="str">
        <f>IFERROR(INDEX(星取表!$U$63:$U$66,MATCH(2,星取表!$V$63:$V$66,0)),"")</f>
        <v/>
      </c>
      <c r="K25" s="11"/>
      <c r="L25" s="36">
        <v>2</v>
      </c>
      <c r="M25" s="37" t="str">
        <f>IFERROR(INDEX(星取表!$B$69:$B$72,MATCH(2,星取表!$V$69:$V$72,0)),"")</f>
        <v/>
      </c>
      <c r="N25" s="36" t="str">
        <f>IFERROR(INDEX(星取表!$R$69:$R$72,MATCH(2,星取表!$V$69:$V$72,0)),"")</f>
        <v/>
      </c>
      <c r="O25" s="36" t="str">
        <f>IFERROR(INDEX(星取表!$U$69:$U$72,MATCH(2,星取表!$V$69:$V$72,0)),"")</f>
        <v/>
      </c>
    </row>
    <row r="26" spans="1:16" ht="21.75" customHeight="1">
      <c r="A26" s="11"/>
      <c r="B26" s="34">
        <v>3</v>
      </c>
      <c r="C26" s="35" t="str">
        <f>IFERROR(INDEX(星取表!$B$57:$B$60,MATCH(3,星取表!$V$57:$V$60,0)),"")</f>
        <v/>
      </c>
      <c r="D26" s="34" t="str">
        <f>IFERROR(INDEX(星取表!$R$57:$R$60,MATCH(3,星取表!$V$57:$V$60,0)),"")</f>
        <v/>
      </c>
      <c r="E26" s="34" t="str">
        <f>IFERROR(INDEX(星取表!$U$57:$U$60,MATCH(3,星取表!$V$57:$V$60,0)),"")</f>
        <v/>
      </c>
      <c r="F26" s="11"/>
      <c r="G26" s="34">
        <v>3</v>
      </c>
      <c r="H26" s="35" t="str">
        <f>IFERROR(INDEX(星取表!$B$63:$B$66,MATCH(3,星取表!$V$63:$V$66,0)),"")</f>
        <v/>
      </c>
      <c r="I26" s="34" t="str">
        <f>IFERROR(INDEX(星取表!$R$63:$R$66,MATCH(3,星取表!$V$63:$V$66,0)),"")</f>
        <v/>
      </c>
      <c r="J26" s="34" t="str">
        <f>IFERROR(INDEX(星取表!$U$63:$U$66,MATCH(3,星取表!$V$63:$V$66,0)),"")</f>
        <v/>
      </c>
      <c r="K26" s="11"/>
      <c r="L26" s="34">
        <v>3</v>
      </c>
      <c r="M26" s="35" t="str">
        <f>IFERROR(INDEX(星取表!$B$69:$B$72,MATCH(3,星取表!$V$69:$V$72,0)),"")</f>
        <v/>
      </c>
      <c r="N26" s="34" t="str">
        <f>IFERROR(INDEX(星取表!$R$69:$R$72,MATCH(3,星取表!$V$69:$V$72,0)),"")</f>
        <v/>
      </c>
      <c r="O26" s="34" t="str">
        <f>IFERROR(INDEX(星取表!$U$69:$U$72,MATCH(3,星取表!$V$69:$V$72,0)),"")</f>
        <v/>
      </c>
    </row>
    <row r="27" spans="1:16" ht="21.75" customHeight="1">
      <c r="A27" s="11"/>
      <c r="B27" s="36">
        <v>4</v>
      </c>
      <c r="C27" s="37" t="str">
        <f>IFERROR(INDEX(星取表!$B$57:$B$60,MATCH(4,星取表!$V$57:$V$60,0)),"")</f>
        <v/>
      </c>
      <c r="D27" s="36" t="str">
        <f>IFERROR(INDEX(星取表!$R$57:$R$60,MATCH(4,星取表!$V$57:$V$60,0)),"")</f>
        <v/>
      </c>
      <c r="E27" s="36" t="str">
        <f>IFERROR(INDEX(星取表!$U$57:$U$60,MATCH(4,星取表!$V$57:$V$60,0)),"")</f>
        <v/>
      </c>
      <c r="F27" s="11"/>
      <c r="G27" s="36">
        <v>4</v>
      </c>
      <c r="H27" s="37" t="str">
        <f>IFERROR(INDEX(星取表!$B$63:$B$66,MATCH(4,星取表!$V$63:$V$66,0)),"")</f>
        <v/>
      </c>
      <c r="I27" s="36" t="str">
        <f>IFERROR(INDEX(星取表!$R$63:$R$66,MATCH(4,星取表!$V$63:$V$66,0)),"")</f>
        <v/>
      </c>
      <c r="J27" s="36" t="str">
        <f>IFERROR(INDEX(星取表!$U$63:$U$66,MATCH(4,星取表!$V$63:$V$66,0)),"")</f>
        <v/>
      </c>
      <c r="K27" s="11"/>
      <c r="L27" s="36">
        <v>4</v>
      </c>
      <c r="M27" s="37" t="str">
        <f>IFERROR(INDEX(星取表!$B$69:$B$72,MATCH(4,星取表!$V$69:$V$72,0)),"")</f>
        <v/>
      </c>
      <c r="N27" s="36" t="str">
        <f>IFERROR(INDEX(星取表!$R$69:$R$72,MATCH(4,星取表!$V$69:$V$72,0)),"")</f>
        <v/>
      </c>
      <c r="O27" s="36" t="str">
        <f>IFERROR(INDEX(星取表!$U$69:$U$72,MATCH(4,星取表!$V$69:$V$72,0)),"")</f>
        <v/>
      </c>
    </row>
    <row r="28" spans="1:16" ht="21.75" customHeight="1">
      <c r="A28" s="11"/>
      <c r="B28" s="38"/>
      <c r="C28" s="39"/>
      <c r="D28" s="38"/>
      <c r="E28" s="38"/>
      <c r="F28" s="11"/>
      <c r="G28" s="38"/>
      <c r="H28" s="39"/>
      <c r="I28" s="38"/>
      <c r="J28" s="38"/>
      <c r="K28" s="11"/>
      <c r="L28" s="40"/>
      <c r="M28" s="41"/>
      <c r="N28" s="40"/>
      <c r="O28" s="40"/>
    </row>
    <row r="29" spans="1:16" s="60" customFormat="1" ht="21.75" customHeight="1">
      <c r="A29" s="56"/>
      <c r="B29" s="80" t="s">
        <v>96</v>
      </c>
      <c r="C29" s="80"/>
      <c r="D29" s="56"/>
      <c r="E29" s="56"/>
      <c r="F29" s="56"/>
      <c r="G29" s="80" t="s">
        <v>97</v>
      </c>
      <c r="H29" s="80"/>
      <c r="I29" s="56"/>
      <c r="J29" s="56"/>
      <c r="K29" s="56"/>
      <c r="L29" s="81"/>
      <c r="M29" s="81"/>
      <c r="N29" s="56"/>
      <c r="O29" s="56"/>
      <c r="P29" s="58"/>
    </row>
    <row r="30" spans="1:16" ht="21.75" customHeight="1">
      <c r="A30" s="11"/>
      <c r="B30" s="33" t="s">
        <v>69</v>
      </c>
      <c r="C30" s="33" t="s">
        <v>1</v>
      </c>
      <c r="D30" s="33" t="s">
        <v>6</v>
      </c>
      <c r="E30" s="33" t="s">
        <v>9</v>
      </c>
      <c r="F30" s="11"/>
      <c r="G30" s="33" t="s">
        <v>69</v>
      </c>
      <c r="H30" s="33" t="s">
        <v>1</v>
      </c>
      <c r="I30" s="33" t="s">
        <v>6</v>
      </c>
      <c r="J30" s="33" t="s">
        <v>9</v>
      </c>
      <c r="K30" s="11"/>
      <c r="L30" s="42"/>
      <c r="M30" s="42"/>
      <c r="N30" s="42"/>
      <c r="O30" s="42"/>
    </row>
    <row r="31" spans="1:16" ht="21.75" customHeight="1">
      <c r="A31" s="11"/>
      <c r="B31" s="34">
        <v>1</v>
      </c>
      <c r="C31" s="35" t="str">
        <f>IFERROR(INDEX(星取表!$B$75:$B$78,MATCH(1,星取表!$V$75:$V$78,0)),"")</f>
        <v>チームM-1</v>
      </c>
      <c r="D31" s="34">
        <f>IFERROR(INDEX(星取表!$R$75:$R$78,MATCH(1,星取表!$V$75:$V$78,0)),"")</f>
        <v>0</v>
      </c>
      <c r="E31" s="34">
        <f>IFERROR(INDEX(星取表!$U$75:$U$78,MATCH(1,星取表!$V$75:$V$78,0)),"")</f>
        <v>0</v>
      </c>
      <c r="F31" s="11"/>
      <c r="G31" s="34">
        <v>1</v>
      </c>
      <c r="H31" s="35" t="str">
        <f>IFERROR(INDEX(星取表!$B$81:$B$84,MATCH(1,星取表!$V$81:$V$84,0)),"")</f>
        <v>チームN-1</v>
      </c>
      <c r="I31" s="34">
        <f>IFERROR(INDEX(星取表!$R$81:$R$84,MATCH(1,星取表!$V$81:$V$84,0)),"")</f>
        <v>0</v>
      </c>
      <c r="J31" s="34">
        <f>IFERROR(INDEX(星取表!$U$81:$U$84,MATCH(1,星取表!$V$81:$V$84,0)),"")</f>
        <v>0</v>
      </c>
      <c r="K31" s="11"/>
      <c r="L31" s="43"/>
      <c r="M31" s="44"/>
      <c r="N31" s="43"/>
      <c r="O31" s="43"/>
    </row>
    <row r="32" spans="1:16" ht="21.75" customHeight="1">
      <c r="A32" s="11"/>
      <c r="B32" s="36">
        <v>2</v>
      </c>
      <c r="C32" s="37" t="str">
        <f>IFERROR(INDEX(星取表!$B$75:$B$78,MATCH(2,星取表!$V$75:$V$78,0)),"")</f>
        <v/>
      </c>
      <c r="D32" s="36" t="str">
        <f>IFERROR(INDEX(星取表!$R$75:$R$78,MATCH(2,星取表!$V$75:$V$78,0)),"")</f>
        <v/>
      </c>
      <c r="E32" s="36" t="str">
        <f>IFERROR(INDEX(星取表!$U$75:$U$78,MATCH(2,星取表!$V$75:$V$78,0)),"")</f>
        <v/>
      </c>
      <c r="F32" s="11"/>
      <c r="G32" s="36">
        <v>2</v>
      </c>
      <c r="H32" s="37" t="str">
        <f>IFERROR(INDEX(星取表!$B$81:$B$84,MATCH(2,星取表!$V$81:$V$84,0)),"")</f>
        <v/>
      </c>
      <c r="I32" s="36" t="str">
        <f>IFERROR(INDEX(星取表!$R$81:$R$84,MATCH(2,星取表!$V$81:$V$84,0)),"")</f>
        <v/>
      </c>
      <c r="J32" s="36" t="str">
        <f>IFERROR(INDEX(星取表!$U$81:$U$84,MATCH(2,星取表!$V$81:$V$84,0)),"")</f>
        <v/>
      </c>
      <c r="K32" s="11"/>
      <c r="L32" s="43"/>
      <c r="M32" s="44"/>
      <c r="N32" s="43"/>
      <c r="O32" s="43"/>
    </row>
    <row r="33" spans="1:15" ht="21.75" customHeight="1">
      <c r="A33" s="11"/>
      <c r="B33" s="34">
        <v>3</v>
      </c>
      <c r="C33" s="35" t="str">
        <f>IFERROR(INDEX(星取表!$B$75:$B$78,MATCH(3,星取表!$V$75:$V$78,0)),"")</f>
        <v/>
      </c>
      <c r="D33" s="34" t="str">
        <f>IFERROR(INDEX(星取表!$R$75:$R$78,MATCH(3,星取表!$V$75:$V$78,0)),"")</f>
        <v/>
      </c>
      <c r="E33" s="34" t="str">
        <f>IFERROR(INDEX(星取表!$U$75:$U$78,MATCH(3,星取表!$V$75:$V$78,0)),"")</f>
        <v/>
      </c>
      <c r="F33" s="11"/>
      <c r="G33" s="34">
        <v>3</v>
      </c>
      <c r="H33" s="35" t="str">
        <f>IFERROR(INDEX(星取表!$B$81:$B$84,MATCH(3,星取表!$V$81:$V$84,0)),"")</f>
        <v/>
      </c>
      <c r="I33" s="34" t="str">
        <f>IFERROR(INDEX(星取表!$R$81:$R$84,MATCH(3,星取表!$V$81:$V$84,0)),"")</f>
        <v/>
      </c>
      <c r="J33" s="34" t="str">
        <f>IFERROR(INDEX(星取表!$U$81:$U$84,MATCH(3,星取表!$V$81:$V$84,0)),"")</f>
        <v/>
      </c>
      <c r="K33" s="11"/>
      <c r="L33" s="43"/>
      <c r="M33" s="44"/>
      <c r="N33" s="43"/>
      <c r="O33" s="43"/>
    </row>
    <row r="34" spans="1:15" ht="21.75" customHeight="1">
      <c r="A34" s="11"/>
      <c r="B34" s="36">
        <v>4</v>
      </c>
      <c r="C34" s="37" t="str">
        <f>IFERROR(INDEX(星取表!$B$75:$B$78,MATCH(4,星取表!$V$75:$V$78,0)),"")</f>
        <v/>
      </c>
      <c r="D34" s="36" t="str">
        <f>IFERROR(INDEX(星取表!$R$75:$R$78,MATCH(4,星取表!$V$75:$V$78,0)),"")</f>
        <v/>
      </c>
      <c r="E34" s="36" t="str">
        <f>IFERROR(INDEX(星取表!$U$75:$U$78,MATCH(4,星取表!$V$75:$V$78,0)),"")</f>
        <v/>
      </c>
      <c r="F34" s="11"/>
      <c r="G34" s="36">
        <v>4</v>
      </c>
      <c r="H34" s="37" t="str">
        <f>IFERROR(INDEX(星取表!$B$81:$B$84,MATCH(4,星取表!$V$81:$V$84,0)),"")</f>
        <v/>
      </c>
      <c r="I34" s="36" t="str">
        <f>IFERROR(INDEX(星取表!$R$81:$R$84,MATCH(4,星取表!$V$81:$V$84,0)),"")</f>
        <v/>
      </c>
      <c r="J34" s="36" t="str">
        <f>IFERROR(INDEX(星取表!$U$81:$U$84,MATCH(4,星取表!$V$81:$V$84,0)),"")</f>
        <v/>
      </c>
      <c r="K34" s="11"/>
      <c r="L34" s="43"/>
      <c r="M34" s="44"/>
      <c r="N34" s="43"/>
      <c r="O34" s="43"/>
    </row>
    <row r="35" spans="1:15" ht="22.5" customHeight="1"/>
  </sheetData>
  <sheetProtection sheet="1" objects="1" scenarios="1"/>
  <mergeCells count="15">
    <mergeCell ref="B1:C1"/>
    <mergeCell ref="G1:H1"/>
    <mergeCell ref="L1:M1"/>
    <mergeCell ref="B8:C8"/>
    <mergeCell ref="G8:H8"/>
    <mergeCell ref="L8:M8"/>
    <mergeCell ref="B29:C29"/>
    <mergeCell ref="G29:H29"/>
    <mergeCell ref="L29:M29"/>
    <mergeCell ref="B15:C15"/>
    <mergeCell ref="G15:H15"/>
    <mergeCell ref="L15:M15"/>
    <mergeCell ref="B22:C22"/>
    <mergeCell ref="G22:H22"/>
    <mergeCell ref="L22:M22"/>
  </mergeCells>
  <phoneticPr fontId="31"/>
  <pageMargins left="0.75" right="0.75" top="1" bottom="1" header="0.511811023622047" footer="0.511811023622047"/>
  <pageSetup paperSize="9" scale="7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5"/>
  <sheetViews>
    <sheetView tabSelected="1" zoomScaleNormal="100" workbookViewId="0">
      <selection activeCell="AG15" sqref="AG15"/>
    </sheetView>
  </sheetViews>
  <sheetFormatPr defaultColWidth="8.5" defaultRowHeight="18.75"/>
  <cols>
    <col min="1" max="1" width="8.5" style="9"/>
    <col min="2" max="2" width="5" style="9" customWidth="1"/>
    <col min="3" max="3" width="16" style="9" customWidth="1"/>
    <col min="4" max="4" width="11" style="9" customWidth="1"/>
    <col min="5" max="5" width="7" style="9" customWidth="1"/>
    <col min="6" max="7" width="8" style="9" customWidth="1"/>
    <col min="8" max="8" width="2" style="9" customWidth="1"/>
    <col min="9" max="9" width="5" style="9" customWidth="1"/>
    <col min="10" max="10" width="16" style="9" customWidth="1"/>
    <col min="11" max="11" width="11" style="9" customWidth="1"/>
    <col min="12" max="12" width="7" style="9" customWidth="1"/>
    <col min="13" max="13" width="8" style="9" customWidth="1"/>
    <col min="14" max="14" width="7" style="9" customWidth="1"/>
    <col min="15" max="15" width="8.5" style="10"/>
    <col min="16" max="29" width="13" style="3" hidden="1" customWidth="1"/>
    <col min="30" max="16384" width="8.5" style="10"/>
  </cols>
  <sheetData>
    <row r="1" spans="1:29" ht="21.75" customHeight="1">
      <c r="A1" s="11"/>
      <c r="B1" s="11"/>
      <c r="C1" s="82" t="s">
        <v>98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>
        <f>IF(COUNTA(date!$B2:$B5)&gt;=1,LARGE(date!K2:K5,1),"")</f>
        <v>1000000055</v>
      </c>
      <c r="Q1">
        <f>IF(COUNTA(date!$B6:$B9)&gt;=1,LARGE(date!K6:K9,1),"")</f>
        <v>1000000051</v>
      </c>
      <c r="R1">
        <f>IF(COUNTA(date!$B10:$B13)&gt;=1,LARGE(date!K10:K13,1),"")</f>
        <v>1000000047</v>
      </c>
      <c r="S1">
        <f>IF(COUNTA(date!$B14:$B17)&gt;=1,LARGE(date!K14:K17,1),"")</f>
        <v>1000000043</v>
      </c>
      <c r="T1">
        <f>IF(COUNTA(date!$B18:$B21)&gt;=1,LARGE(date!K18:K21,1),"")</f>
        <v>1000000039</v>
      </c>
      <c r="U1">
        <f>IF(COUNTA(date!$B22:$B25)&gt;=1,LARGE(date!K22:K25,1),"")</f>
        <v>1000000035</v>
      </c>
      <c r="V1">
        <f>IF(COUNTA(date!$B26:$B29)&gt;=1,LARGE(date!K26:K29,1),"")</f>
        <v>1000000031</v>
      </c>
      <c r="W1">
        <f>IF(COUNTA(date!$B30:$B33)&gt;=1,LARGE(date!K30:K33,1),"")</f>
        <v>1000000027</v>
      </c>
      <c r="X1">
        <f>IF(COUNTA(date!$B34:$B37)&gt;=1,LARGE(date!K34:K37,1),"")</f>
        <v>1000000023</v>
      </c>
      <c r="Y1">
        <f>IF(COUNTA(date!$B38:$B41)&gt;=1,LARGE(date!K38:K41,1),"")</f>
        <v>1000000019</v>
      </c>
      <c r="Z1">
        <f>IF(COUNTA(date!$B42:$B45)&gt;=1,LARGE(date!K42:K45,1),"")</f>
        <v>1000000015</v>
      </c>
      <c r="AA1">
        <f>IF(COUNTA(date!$B46:$B49)&gt;=1,LARGE(date!K46:K49,1),"")</f>
        <v>1000000011</v>
      </c>
      <c r="AB1">
        <f>IF(COUNTA(date!$B50:$B53)&gt;=1,LARGE(date!K50:K53,1),"")</f>
        <v>1000000007</v>
      </c>
      <c r="AC1">
        <f>IF(COUNTA(date!$B54:$B57)&gt;=1,LARGE(date!K54:K57,1),"")</f>
        <v>1000000003</v>
      </c>
    </row>
    <row r="2" spans="1:29" ht="24" customHeight="1">
      <c r="A2" s="11"/>
      <c r="B2" s="83" t="s">
        <v>99</v>
      </c>
      <c r="C2" s="83"/>
      <c r="D2" s="83"/>
      <c r="E2" s="83"/>
      <c r="F2" s="83"/>
      <c r="G2" s="83"/>
      <c r="H2" s="11"/>
      <c r="I2" s="83" t="s">
        <v>100</v>
      </c>
      <c r="J2" s="83"/>
      <c r="K2" s="83"/>
      <c r="L2" s="83"/>
      <c r="M2" s="83"/>
      <c r="N2" s="83"/>
      <c r="P2">
        <f>IF(COUNTA(date!$B2:$B5)&gt;=2,LARGE(date!K2:K5,2),"")</f>
        <v>1000000054</v>
      </c>
      <c r="Q2">
        <f>IF(COUNTA(date!$B6:$B9)&gt;=2,LARGE(date!K6:K9,2),"")</f>
        <v>1000000050</v>
      </c>
      <c r="R2">
        <f>IF(COUNTA(date!$B10:$B13)&gt;=2,LARGE(date!K10:K13,2),"")</f>
        <v>1000000046</v>
      </c>
      <c r="S2">
        <f>IF(COUNTA(date!$B14:$B17)&gt;=2,LARGE(date!K14:K17,2),"")</f>
        <v>1000000042</v>
      </c>
      <c r="T2">
        <f>IF(COUNTA(date!$B18:$B21)&gt;=2,LARGE(date!K18:K21,2),"")</f>
        <v>1000000038</v>
      </c>
      <c r="U2">
        <f>IF(COUNTA(date!$B22:$B25)&gt;=2,LARGE(date!K22:K25,2),"")</f>
        <v>1000000034</v>
      </c>
      <c r="V2">
        <f>IF(COUNTA(date!$B26:$B29)&gt;=2,LARGE(date!K26:K29,2),"")</f>
        <v>1000000030</v>
      </c>
      <c r="W2">
        <f>IF(COUNTA(date!$B30:$B33)&gt;=2,LARGE(date!K30:K33,2),"")</f>
        <v>1000000026</v>
      </c>
      <c r="X2">
        <f>IF(COUNTA(date!$B34:$B37)&gt;=2,LARGE(date!K34:K37,2),"")</f>
        <v>1000000022</v>
      </c>
      <c r="Y2">
        <f>IF(COUNTA(date!$B38:$B41)&gt;=2,LARGE(date!K38:K41,2),"")</f>
        <v>1000000018</v>
      </c>
      <c r="Z2">
        <f>IF(COUNTA(date!$B42:$B45)&gt;=2,LARGE(date!K42:K45,2),"")</f>
        <v>1000000014</v>
      </c>
      <c r="AA2">
        <f>IF(COUNTA(date!$B46:$B49)&gt;=2,LARGE(date!K46:K49,2),"")</f>
        <v>1000000010</v>
      </c>
      <c r="AB2">
        <f>IF(COUNTA(date!$B50:$B53)&gt;=2,LARGE(date!K50:K53,2),"")</f>
        <v>1000000006</v>
      </c>
      <c r="AC2">
        <f>IF(COUNTA(date!$B54:$B57)&gt;=2,LARGE(date!K54:K57,2),"")</f>
        <v>1000000002</v>
      </c>
    </row>
    <row r="3" spans="1:29" ht="21.75" customHeight="1">
      <c r="A3" s="11"/>
      <c r="B3" s="45" t="s">
        <v>69</v>
      </c>
      <c r="C3" s="45" t="s">
        <v>1</v>
      </c>
      <c r="D3" s="45" t="s">
        <v>2</v>
      </c>
      <c r="E3" s="45" t="s">
        <v>6</v>
      </c>
      <c r="F3" s="45" t="s">
        <v>9</v>
      </c>
      <c r="G3" s="45" t="s">
        <v>7</v>
      </c>
      <c r="H3" s="11"/>
      <c r="I3" s="45" t="s">
        <v>69</v>
      </c>
      <c r="J3" s="45" t="s">
        <v>1</v>
      </c>
      <c r="K3" s="45" t="s">
        <v>2</v>
      </c>
      <c r="L3" s="45" t="s">
        <v>6</v>
      </c>
      <c r="M3" s="45" t="s">
        <v>9</v>
      </c>
      <c r="N3" s="45" t="s">
        <v>7</v>
      </c>
      <c r="P3">
        <f>IF(COUNTA(date!$B2:$B5)&gt;=3,LARGE(date!K2:K5,3),"")</f>
        <v>1000000053</v>
      </c>
      <c r="Q3">
        <f>IF(COUNTA(date!$B6:$B9)&gt;=3,LARGE(date!K6:K9,3),"")</f>
        <v>1000000049</v>
      </c>
      <c r="R3">
        <f>IF(COUNTA(date!$B10:$B13)&gt;=3,LARGE(date!K10:K13,3),"")</f>
        <v>1000000045</v>
      </c>
      <c r="S3">
        <f>IF(COUNTA(date!$B14:$B17)&gt;=3,LARGE(date!K14:K17,3),"")</f>
        <v>1000000041</v>
      </c>
      <c r="T3">
        <f>IF(COUNTA(date!$B18:$B21)&gt;=3,LARGE(date!K18:K21,3),"")</f>
        <v>1000000037</v>
      </c>
      <c r="U3">
        <f>IF(COUNTA(date!$B22:$B25)&gt;=3,LARGE(date!K22:K25,3),"")</f>
        <v>1000000033</v>
      </c>
      <c r="V3">
        <f>IF(COUNTA(date!$B26:$B29)&gt;=3,LARGE(date!K26:K29,3),"")</f>
        <v>1000000029</v>
      </c>
      <c r="W3">
        <f>IF(COUNTA(date!$B30:$B33)&gt;=3,LARGE(date!K30:K33,3),"")</f>
        <v>1000000025</v>
      </c>
      <c r="X3">
        <f>IF(COUNTA(date!$B34:$B37)&gt;=3,LARGE(date!K34:K37,3),"")</f>
        <v>1000000021</v>
      </c>
      <c r="Y3">
        <f>IF(COUNTA(date!$B38:$B41)&gt;=3,LARGE(date!K38:K41,3),"")</f>
        <v>1000000017</v>
      </c>
      <c r="Z3">
        <f>IF(COUNTA(date!$B42:$B45)&gt;=3,LARGE(date!K42:K45,3),"")</f>
        <v>1000000013</v>
      </c>
      <c r="AA3">
        <f>IF(COUNTA(date!$B46:$B49)&gt;=3,LARGE(date!K46:K49,3),"")</f>
        <v>1000000009</v>
      </c>
      <c r="AB3">
        <f>IF(COUNTA(date!$B50:$B53)&gt;=3,LARGE(date!K50:K53,3),"")</f>
        <v>1000000005</v>
      </c>
      <c r="AC3">
        <f>IF(COUNTA(date!$B54:$B57)&gt;=3,LARGE(date!K54:K57,3),"")</f>
        <v>1000000001</v>
      </c>
    </row>
    <row r="4" spans="1:29" ht="21.75" customHeight="1">
      <c r="A4" s="11"/>
      <c r="B4" s="46">
        <v>1</v>
      </c>
      <c r="C4" s="47" t="str">
        <f>IFERROR(INDEX(date!B2:B57,MATCH(LARGE($P$1:$AC$1,1),date!K2:K57,0)),"")</f>
        <v>チームA-１</v>
      </c>
      <c r="D4" s="46" t="str">
        <f>IFERROR(INDEX(date!C2:C57,MATCH(LARGE($P$1:$AC$1,1),date!K2:K57,0)),"")</f>
        <v>Aパート</v>
      </c>
      <c r="E4" s="46">
        <f>IFERROR(INDEX(date!G2:G57,MATCH(LARGE($P$1:$AC$1,1),date!K2:K57,0)),"")</f>
        <v>0</v>
      </c>
      <c r="F4" s="46">
        <f>IFERROR(INDEX(date!J2:J57,MATCH(LARGE($P$1:$AC$1,1),date!K2:K57,0)),"")</f>
        <v>0</v>
      </c>
      <c r="G4" s="46">
        <f>IFERROR(INDEX(date!H2:H57,MATCH(LARGE($P$1:$AC$1,1),date!K2:K57,0)),"")</f>
        <v>0</v>
      </c>
      <c r="H4" s="48"/>
      <c r="I4" s="46">
        <v>1</v>
      </c>
      <c r="J4" s="47" t="str">
        <f>IFERROR(INDEX(date!B2:B57,MATCH(LARGE($P$2:$AC$2,1),date!K2:K57,0)),"")</f>
        <v>チームA-2</v>
      </c>
      <c r="K4" s="46" t="str">
        <f>IFERROR(INDEX(date!C2:C57,MATCH(LARGE($P$2:$AC$2,1),date!K2:K57,0)),"")</f>
        <v>Aパート</v>
      </c>
      <c r="L4" s="46">
        <f>IFERROR(INDEX(date!G2:G57,MATCH(LARGE($P$2:$AC$2,1),date!K2:K57,0)),"")</f>
        <v>0</v>
      </c>
      <c r="M4" s="46">
        <f>IFERROR(INDEX(date!J2:J57,MATCH(LARGE($P$2:$AC$2,1),date!K2:K57,0)),"")</f>
        <v>0</v>
      </c>
      <c r="N4" s="46">
        <f>IFERROR(INDEX(date!H2:H57,MATCH(LARGE($P$2:$AC$2,1),date!K2:K57,0)),"")</f>
        <v>0</v>
      </c>
      <c r="P4">
        <f>IF(COUNTA(date!$B2:$B5)&gt;=4,LARGE(date!K2:K5,4),"")</f>
        <v>1000000052</v>
      </c>
      <c r="Q4">
        <f>IF(COUNTA(date!$B6:$B9)&gt;=4,LARGE(date!K6:K9,4),"")</f>
        <v>1000000048</v>
      </c>
      <c r="R4">
        <f>IF(COUNTA(date!$B10:$B13)&gt;=4,LARGE(date!K10:K13,4),"")</f>
        <v>1000000044</v>
      </c>
      <c r="S4">
        <f>IF(COUNTA(date!$B14:$B17)&gt;=4,LARGE(date!K14:K17,4),"")</f>
        <v>1000000040</v>
      </c>
      <c r="T4">
        <f>IF(COUNTA(date!$B18:$B21)&gt;=4,LARGE(date!K18:K21,4),"")</f>
        <v>1000000036</v>
      </c>
      <c r="U4">
        <f>IF(COUNTA(date!$B22:$B25)&gt;=4,LARGE(date!K22:K25,4),"")</f>
        <v>1000000032</v>
      </c>
      <c r="V4">
        <f>IF(COUNTA(date!$B26:$B29)&gt;=4,LARGE(date!K26:K29,4),"")</f>
        <v>1000000028</v>
      </c>
      <c r="W4">
        <f>IF(COUNTA(date!$B30:$B33)&gt;=4,LARGE(date!K30:K33,4),"")</f>
        <v>1000000024</v>
      </c>
      <c r="X4">
        <f>IF(COUNTA(date!$B34:$B37)&gt;=4,LARGE(date!K34:K37,4),"")</f>
        <v>1000000020</v>
      </c>
      <c r="Y4">
        <f>IF(COUNTA(date!$B38:$B41)&gt;=4,LARGE(date!K38:K41,4),"")</f>
        <v>1000000016</v>
      </c>
      <c r="Z4">
        <f>IF(COUNTA(date!$B42:$B45)&gt;=4,LARGE(date!K42:K45,4),"")</f>
        <v>1000000012</v>
      </c>
      <c r="AA4">
        <f>IF(COUNTA(date!$B46:$B49)&gt;=4,LARGE(date!K46:K49,4),"")</f>
        <v>1000000008</v>
      </c>
      <c r="AB4">
        <f>IF(COUNTA(date!$B50:$B53)&gt;=4,LARGE(date!K50:K53,4),"")</f>
        <v>1000000004</v>
      </c>
      <c r="AC4">
        <f>IF(COUNTA(date!$B54:$B57)&gt;=4,LARGE(date!K54:K57,4),"")</f>
        <v>1000000000</v>
      </c>
    </row>
    <row r="5" spans="1:29" ht="21.75" customHeight="1">
      <c r="A5" s="11"/>
      <c r="B5" s="2">
        <v>2</v>
      </c>
      <c r="C5" s="49" t="str">
        <f>IFERROR(INDEX(date!B2:B57,MATCH(LARGE($P$1:$AC$1,2),date!K2:K57,0)),"")</f>
        <v>チームB-1</v>
      </c>
      <c r="D5" s="2" t="str">
        <f>IFERROR(INDEX(date!C2:C57,MATCH(LARGE($P$1:$AC$1,2),date!K2:K57,0)),"")</f>
        <v>Bパート</v>
      </c>
      <c r="E5" s="2">
        <f>IFERROR(INDEX(date!G2:G57,MATCH(LARGE($P$1:$AC$1,2),date!K2:K57,0)),"")</f>
        <v>0</v>
      </c>
      <c r="F5" s="2">
        <f>IFERROR(INDEX(date!J2:J57,MATCH(LARGE($P$1:$AC$1,2),date!K2:K57,0)),"")</f>
        <v>0</v>
      </c>
      <c r="G5" s="2">
        <f>IFERROR(INDEX(date!H2:H57,MATCH(LARGE($P$1:$AC$1,2),date!K2:K57,0)),"")</f>
        <v>0</v>
      </c>
      <c r="H5" s="50"/>
      <c r="I5" s="2">
        <v>2</v>
      </c>
      <c r="J5" s="49" t="str">
        <f>IFERROR(INDEX(date!B2:B57,MATCH(LARGE($P$2:$AC$2,2),date!K2:K57,0)),"")</f>
        <v>チームB-2</v>
      </c>
      <c r="K5" s="2" t="str">
        <f>IFERROR(INDEX(date!C2:C57,MATCH(LARGE($P$2:$AC$2,2),date!K2:K57,0)),"")</f>
        <v>Bパート</v>
      </c>
      <c r="L5" s="2">
        <f>IFERROR(INDEX(date!G2:G57,MATCH(LARGE($P$2:$AC$2,2),date!K2:K57,0)),"")</f>
        <v>0</v>
      </c>
      <c r="M5" s="2">
        <f>IFERROR(INDEX(date!J2:J57,MATCH(LARGE($P$2:$AC$2,2),date!K2:K57,0)),"")</f>
        <v>0</v>
      </c>
      <c r="N5" s="2">
        <f>IFERROR(INDEX(date!H2:H57,MATCH(LARGE($P$2:$AC$2,2),date!K2:K57,0)),"")</f>
        <v>0</v>
      </c>
    </row>
    <row r="6" spans="1:29" ht="21.75" customHeight="1">
      <c r="A6" s="11"/>
      <c r="B6" s="46">
        <v>3</v>
      </c>
      <c r="C6" s="51" t="str">
        <f>IFERROR(INDEX(date!B2:B57,MATCH(LARGE($P$1:$AC$1,3),date!K2:K57,0)),"")</f>
        <v>チームC-1</v>
      </c>
      <c r="D6" s="46" t="str">
        <f>IFERROR(INDEX(date!C2:C57,MATCH(LARGE($P$1:$AC$1,3),date!K2:K57,0)),"")</f>
        <v>Cパート</v>
      </c>
      <c r="E6" s="46">
        <f>IFERROR(INDEX(date!G2:G57,MATCH(LARGE($P$1:$AC$1,3),date!K2:K57,0)),"")</f>
        <v>0</v>
      </c>
      <c r="F6" s="46">
        <f>IFERROR(INDEX(date!J2:J57,MATCH(LARGE($P$1:$AC$1,3),date!K2:K57,0)),"")</f>
        <v>0</v>
      </c>
      <c r="G6" s="46">
        <f>IFERROR(INDEX(date!H2:H57,MATCH(LARGE($P$1:$AC$1,3),date!K2:K57,0)),"")</f>
        <v>0</v>
      </c>
      <c r="H6" s="48"/>
      <c r="I6" s="46">
        <v>3</v>
      </c>
      <c r="J6" s="51" t="str">
        <f>IFERROR(INDEX(date!B2:B57,MATCH(LARGE($P$2:$AC$2,3),date!K2:K57,0)),"")</f>
        <v>チームC-2</v>
      </c>
      <c r="K6" s="46" t="str">
        <f>IFERROR(INDEX(date!C2:C57,MATCH(LARGE($P$2:$AC$2,3),date!K2:K57,0)),"")</f>
        <v>Cパート</v>
      </c>
      <c r="L6" s="46">
        <f>IFERROR(INDEX(date!G2:G57,MATCH(LARGE($P$2:$AC$2,3),date!K2:K57,0)),"")</f>
        <v>0</v>
      </c>
      <c r="M6" s="46">
        <f>IFERROR(INDEX(date!J2:J57,MATCH(LARGE($P$2:$AC$2,3),date!K2:K57,0)),"")</f>
        <v>0</v>
      </c>
      <c r="N6" s="46">
        <f>IFERROR(INDEX(date!H2:H57,MATCH(LARGE($P$2:$AC$2,3),date!K2:K57,0)),"")</f>
        <v>0</v>
      </c>
    </row>
    <row r="7" spans="1:29" ht="21.75" customHeight="1">
      <c r="A7" s="11"/>
      <c r="B7" s="2">
        <v>4</v>
      </c>
      <c r="C7" s="49" t="str">
        <f>IFERROR(INDEX(date!B2:B57,MATCH(LARGE($P$1:$AC$1,4),date!K2:K57,0)),"")</f>
        <v>チームD-1</v>
      </c>
      <c r="D7" s="2" t="str">
        <f>IFERROR(INDEX(date!C2:C57,MATCH(LARGE($P$1:$AC$1,4),date!K2:K57,0)),"")</f>
        <v>Dパート</v>
      </c>
      <c r="E7" s="2">
        <f>IFERROR(INDEX(date!G2:G57,MATCH(LARGE($P$1:$AC$1,4),date!K2:K57,0)),"")</f>
        <v>0</v>
      </c>
      <c r="F7" s="2">
        <f>IFERROR(INDEX(date!J2:J57,MATCH(LARGE($P$1:$AC$1,4),date!K2:K57,0)),"")</f>
        <v>0</v>
      </c>
      <c r="G7" s="2">
        <f>IFERROR(INDEX(date!H2:H57,MATCH(LARGE($P$1:$AC$1,4),date!K2:K57,0)),"")</f>
        <v>0</v>
      </c>
      <c r="H7" s="50"/>
      <c r="I7" s="2">
        <v>4</v>
      </c>
      <c r="J7" s="49" t="str">
        <f>IFERROR(INDEX(date!B2:B57,MATCH(LARGE($P$2:$AC$2,4),date!K2:K57,0)),"")</f>
        <v>チームD-2</v>
      </c>
      <c r="K7" s="2" t="str">
        <f>IFERROR(INDEX(date!C2:C57,MATCH(LARGE($P$2:$AC$2,4),date!K2:K57,0)),"")</f>
        <v>Dパート</v>
      </c>
      <c r="L7" s="2">
        <f>IFERROR(INDEX(date!G2:G57,MATCH(LARGE($P$2:$AC$2,4),date!K2:K57,0)),"")</f>
        <v>0</v>
      </c>
      <c r="M7" s="2">
        <f>IFERROR(INDEX(date!J2:J57,MATCH(LARGE($P$2:$AC$2,4),date!K2:K57,0)),"")</f>
        <v>0</v>
      </c>
      <c r="N7" s="2">
        <f>IFERROR(INDEX(date!H2:H57,MATCH(LARGE($P$2:$AC$2,4),date!K2:K57,0)),"")</f>
        <v>0</v>
      </c>
    </row>
    <row r="8" spans="1:29" ht="21.75" customHeight="1">
      <c r="A8" s="11"/>
      <c r="B8" s="46">
        <v>5</v>
      </c>
      <c r="C8" s="51" t="str">
        <f>IFERROR(INDEX(date!B2:B57,MATCH(LARGE($P$1:$AC$1,5),date!K2:K57,0)),"")</f>
        <v>チームE-1</v>
      </c>
      <c r="D8" s="46" t="str">
        <f>IFERROR(INDEX(date!C2:C57,MATCH(LARGE($P$1:$AC$1,5),date!K2:K57,0)),"")</f>
        <v>Eパート</v>
      </c>
      <c r="E8" s="46">
        <f>IFERROR(INDEX(date!G2:G57,MATCH(LARGE($P$1:$AC$1,5),date!K2:K57,0)),"")</f>
        <v>0</v>
      </c>
      <c r="F8" s="46">
        <f>IFERROR(INDEX(date!J2:J57,MATCH(LARGE($P$1:$AC$1,5),date!K2:K57,0)),"")</f>
        <v>0</v>
      </c>
      <c r="G8" s="46">
        <f>IFERROR(INDEX(date!H2:H57,MATCH(LARGE($P$1:$AC$1,5),date!K2:K57,0)),"")</f>
        <v>0</v>
      </c>
      <c r="H8" s="48"/>
      <c r="I8" s="46">
        <v>5</v>
      </c>
      <c r="J8" s="51" t="str">
        <f>IFERROR(INDEX(date!B2:B57,MATCH(LARGE($P$2:$AC$2,5),date!K2:K57,0)),"")</f>
        <v>チームE-2</v>
      </c>
      <c r="K8" s="46" t="str">
        <f>IFERROR(INDEX(date!C2:C57,MATCH(LARGE($P$2:$AC$2,5),date!K2:K57,0)),"")</f>
        <v>Eパート</v>
      </c>
      <c r="L8" s="46">
        <f>IFERROR(INDEX(date!G2:G57,MATCH(LARGE($P$2:$AC$2,5),date!K2:K57,0)),"")</f>
        <v>0</v>
      </c>
      <c r="M8" s="46">
        <f>IFERROR(INDEX(date!J2:J57,MATCH(LARGE($P$2:$AC$2,5),date!K2:K57,0)),"")</f>
        <v>0</v>
      </c>
      <c r="N8" s="46">
        <f>IFERROR(INDEX(date!H2:H57,MATCH(LARGE($P$2:$AC$2,5),date!K2:K57,0)),"")</f>
        <v>0</v>
      </c>
    </row>
    <row r="9" spans="1:29" ht="21.75" customHeight="1">
      <c r="A9" s="11"/>
      <c r="B9" s="2">
        <v>6</v>
      </c>
      <c r="C9" s="49" t="str">
        <f>IFERROR(INDEX(date!B2:B57,MATCH(LARGE($P$1:$AC$1,6),date!K2:K57,0)),"")</f>
        <v>チームF-1</v>
      </c>
      <c r="D9" s="2" t="str">
        <f>IFERROR(INDEX(date!C2:C57,MATCH(LARGE($P$1:$AC$1,6),date!K2:K57,0)),"")</f>
        <v>Fパート</v>
      </c>
      <c r="E9" s="2">
        <f>IFERROR(INDEX(date!G2:G57,MATCH(LARGE($P$1:$AC$1,6),date!K2:K57,0)),"")</f>
        <v>0</v>
      </c>
      <c r="F9" s="2">
        <f>IFERROR(INDEX(date!J2:J57,MATCH(LARGE($P$1:$AC$1,6),date!K2:K57,0)),"")</f>
        <v>0</v>
      </c>
      <c r="G9" s="2">
        <f>IFERROR(INDEX(date!H2:H57,MATCH(LARGE($P$1:$AC$1,6),date!K2:K57,0)),"")</f>
        <v>0</v>
      </c>
      <c r="H9" s="50"/>
      <c r="I9" s="2">
        <v>6</v>
      </c>
      <c r="J9" s="49" t="str">
        <f>IFERROR(INDEX(date!B2:B57,MATCH(LARGE($P$2:$AC$2,6),date!K2:K57,0)),"")</f>
        <v>チームF-2</v>
      </c>
      <c r="K9" s="2" t="str">
        <f>IFERROR(INDEX(date!C2:C57,MATCH(LARGE($P$2:$AC$2,6),date!K2:K57,0)),"")</f>
        <v>Fパート</v>
      </c>
      <c r="L9" s="2">
        <f>IFERROR(INDEX(date!G2:G57,MATCH(LARGE($P$2:$AC$2,6),date!K2:K57,0)),"")</f>
        <v>0</v>
      </c>
      <c r="M9" s="2">
        <f>IFERROR(INDEX(date!J2:J57,MATCH(LARGE($P$2:$AC$2,6),date!K2:K57,0)),"")</f>
        <v>0</v>
      </c>
      <c r="N9" s="2">
        <f>IFERROR(INDEX(date!H2:H57,MATCH(LARGE($P$2:$AC$2,6),date!K2:K57,0)),"")</f>
        <v>0</v>
      </c>
    </row>
    <row r="10" spans="1:29" ht="21.75" customHeight="1">
      <c r="A10" s="11"/>
      <c r="B10" s="46">
        <v>7</v>
      </c>
      <c r="C10" s="51" t="str">
        <f>IFERROR(INDEX(date!B2:B57,MATCH(LARGE($P$1:$AC$1,7),date!K2:K57,0)),"")</f>
        <v>チームG-1</v>
      </c>
      <c r="D10" s="46" t="str">
        <f>IFERROR(INDEX(date!C2:C57,MATCH(LARGE($P$1:$AC$1,7),date!K2:K57,0)),"")</f>
        <v>Gパート</v>
      </c>
      <c r="E10" s="46">
        <f>IFERROR(INDEX(date!G2:G57,MATCH(LARGE($P$1:$AC$1,7),date!K2:K57,0)),"")</f>
        <v>0</v>
      </c>
      <c r="F10" s="46">
        <f>IFERROR(INDEX(date!J2:J57,MATCH(LARGE($P$1:$AC$1,7),date!K2:K57,0)),"")</f>
        <v>0</v>
      </c>
      <c r="G10" s="46">
        <f>IFERROR(INDEX(date!H2:H57,MATCH(LARGE($P$1:$AC$1,7),date!K2:K57,0)),"")</f>
        <v>0</v>
      </c>
      <c r="H10" s="48"/>
      <c r="I10" s="46">
        <v>7</v>
      </c>
      <c r="J10" s="51" t="str">
        <f>IFERROR(INDEX(date!B2:B57,MATCH(LARGE($P$2:$AC$2,7),date!K2:K57,0)),"")</f>
        <v>チームG-2</v>
      </c>
      <c r="K10" s="46" t="str">
        <f>IFERROR(INDEX(date!C2:C57,MATCH(LARGE($P$2:$AC$2,7),date!K2:K57,0)),"")</f>
        <v>Gパート</v>
      </c>
      <c r="L10" s="46">
        <f>IFERROR(INDEX(date!G2:G57,MATCH(LARGE($P$2:$AC$2,7),date!K2:K57,0)),"")</f>
        <v>0</v>
      </c>
      <c r="M10" s="46">
        <f>IFERROR(INDEX(date!J2:J57,MATCH(LARGE($P$2:$AC$2,7),date!K2:K57,0)),"")</f>
        <v>0</v>
      </c>
      <c r="N10" s="46">
        <f>IFERROR(INDEX(date!H2:H57,MATCH(LARGE($P$2:$AC$2,7),date!K2:K57,0)),"")</f>
        <v>0</v>
      </c>
    </row>
    <row r="11" spans="1:29" ht="21.75" customHeight="1">
      <c r="A11" s="11"/>
      <c r="B11" s="2">
        <v>8</v>
      </c>
      <c r="C11" s="49" t="str">
        <f>IFERROR(INDEX(date!B2:B57,MATCH(LARGE($P$1:$AC$1,8),date!K2:K57,0)),"")</f>
        <v>チームH-1</v>
      </c>
      <c r="D11" s="2" t="str">
        <f>IFERROR(INDEX(date!C2:C57,MATCH(LARGE($P$1:$AC$1,8),date!K2:K57,0)),"")</f>
        <v>Hパート</v>
      </c>
      <c r="E11" s="2">
        <f>IFERROR(INDEX(date!G2:G57,MATCH(LARGE($P$1:$AC$1,8),date!K2:K57,0)),"")</f>
        <v>0</v>
      </c>
      <c r="F11" s="2">
        <f>IFERROR(INDEX(date!J2:J57,MATCH(LARGE($P$1:$AC$1,8),date!K2:K57,0)),"")</f>
        <v>0</v>
      </c>
      <c r="G11" s="2">
        <f>IFERROR(INDEX(date!H2:H57,MATCH(LARGE($P$1:$AC$1,8),date!K2:K57,0)),"")</f>
        <v>0</v>
      </c>
      <c r="H11" s="50"/>
      <c r="I11" s="2">
        <v>8</v>
      </c>
      <c r="J11" s="49" t="str">
        <f>IFERROR(INDEX(date!B2:B57,MATCH(LARGE($P$2:$AC$2,8),date!K2:K57,0)),"")</f>
        <v>チームH-2</v>
      </c>
      <c r="K11" s="2" t="str">
        <f>IFERROR(INDEX(date!C2:C57,MATCH(LARGE($P$2:$AC$2,8),date!K2:K57,0)),"")</f>
        <v>Hパート</v>
      </c>
      <c r="L11" s="2">
        <f>IFERROR(INDEX(date!G2:G57,MATCH(LARGE($P$2:$AC$2,8),date!K2:K57,0)),"")</f>
        <v>0</v>
      </c>
      <c r="M11" s="2">
        <f>IFERROR(INDEX(date!J2:J57,MATCH(LARGE($P$2:$AC$2,8),date!K2:K57,0)),"")</f>
        <v>0</v>
      </c>
      <c r="N11" s="2">
        <f>IFERROR(INDEX(date!H2:H57,MATCH(LARGE($P$2:$AC$2,8),date!K2:K57,0)),"")</f>
        <v>0</v>
      </c>
    </row>
    <row r="12" spans="1:29" ht="21.75" customHeight="1">
      <c r="A12" s="11"/>
      <c r="B12" s="46">
        <v>9</v>
      </c>
      <c r="C12" s="51" t="str">
        <f>IFERROR(INDEX(date!B2:B57,MATCH(LARGE($P$1:$AC$1,9),date!K2:K57,0)),"")</f>
        <v>チームI-1</v>
      </c>
      <c r="D12" s="46" t="str">
        <f>IFERROR(INDEX(date!C2:C57,MATCH(LARGE($P$1:$AC$1,9),date!K2:K57,0)),"")</f>
        <v>Iパート</v>
      </c>
      <c r="E12" s="46">
        <f>IFERROR(INDEX(date!G2:G57,MATCH(LARGE($P$1:$AC$1,9),date!K2:K57,0)),"")</f>
        <v>0</v>
      </c>
      <c r="F12" s="46">
        <f>IFERROR(INDEX(date!J2:J57,MATCH(LARGE($P$1:$AC$1,9),date!K2:K57,0)),"")</f>
        <v>0</v>
      </c>
      <c r="G12" s="46">
        <f>IFERROR(INDEX(date!H2:H57,MATCH(LARGE($P$1:$AC$1,9),date!K2:K57,0)),"")</f>
        <v>0</v>
      </c>
      <c r="H12" s="48"/>
      <c r="I12" s="46">
        <v>9</v>
      </c>
      <c r="J12" s="51" t="str">
        <f>IFERROR(INDEX(date!B2:B57,MATCH(LARGE($P$2:$AC$2,9),date!K2:K57,0)),"")</f>
        <v>チームI-2</v>
      </c>
      <c r="K12" s="46" t="str">
        <f>IFERROR(INDEX(date!C2:C57,MATCH(LARGE($P$2:$AC$2,9),date!K2:K57,0)),"")</f>
        <v>Iパート</v>
      </c>
      <c r="L12" s="46">
        <f>IFERROR(INDEX(date!G2:G57,MATCH(LARGE($P$2:$AC$2,9),date!K2:K57,0)),"")</f>
        <v>0</v>
      </c>
      <c r="M12" s="46">
        <f>IFERROR(INDEX(date!J2:J57,MATCH(LARGE($P$2:$AC$2,9),date!K2:K57,0)),"")</f>
        <v>0</v>
      </c>
      <c r="N12" s="46">
        <f>IFERROR(INDEX(date!H2:H57,MATCH(LARGE($P$2:$AC$2,9),date!K2:K57,0)),"")</f>
        <v>0</v>
      </c>
    </row>
    <row r="13" spans="1:29" ht="21.75" customHeight="1">
      <c r="A13" s="11"/>
      <c r="B13" s="2">
        <v>10</v>
      </c>
      <c r="C13" s="49" t="str">
        <f>IFERROR(INDEX(date!B2:B57,MATCH(LARGE($P$1:$AC$1,10),date!K2:K57,0)),"")</f>
        <v>チームJ-1</v>
      </c>
      <c r="D13" s="2" t="str">
        <f>IFERROR(INDEX(date!C2:C57,MATCH(LARGE($P$1:$AC$1,10),date!K2:K57,0)),"")</f>
        <v>Jパート</v>
      </c>
      <c r="E13" s="2">
        <f>IFERROR(INDEX(date!G2:G57,MATCH(LARGE($P$1:$AC$1,10),date!K2:K57,0)),"")</f>
        <v>0</v>
      </c>
      <c r="F13" s="2">
        <f>IFERROR(INDEX(date!J2:J57,MATCH(LARGE($P$1:$AC$1,10),date!K2:K57,0)),"")</f>
        <v>0</v>
      </c>
      <c r="G13" s="2">
        <f>IFERROR(INDEX(date!H2:H57,MATCH(LARGE($P$1:$AC$1,10),date!K2:K57,0)),"")</f>
        <v>0</v>
      </c>
      <c r="H13" s="50"/>
      <c r="I13" s="2">
        <v>10</v>
      </c>
      <c r="J13" s="49" t="str">
        <f>IFERROR(INDEX(date!B2:B57,MATCH(LARGE($P$2:$AC$2,10),date!K2:K57,0)),"")</f>
        <v>チームJ-2</v>
      </c>
      <c r="K13" s="2" t="str">
        <f>IFERROR(INDEX(date!C2:C57,MATCH(LARGE($P$2:$AC$2,10),date!K2:K57,0)),"")</f>
        <v>Jパート</v>
      </c>
      <c r="L13" s="2">
        <f>IFERROR(INDEX(date!G2:G57,MATCH(LARGE($P$2:$AC$2,10),date!K2:K57,0)),"")</f>
        <v>0</v>
      </c>
      <c r="M13" s="2">
        <f>IFERROR(INDEX(date!J2:J57,MATCH(LARGE($P$2:$AC$2,10),date!K2:K57,0)),"")</f>
        <v>0</v>
      </c>
      <c r="N13" s="2">
        <f>IFERROR(INDEX(date!H2:H57,MATCH(LARGE($P$2:$AC$2,10),date!K2:K57,0)),"")</f>
        <v>0</v>
      </c>
    </row>
    <row r="14" spans="1:29" ht="21.75" customHeight="1">
      <c r="A14" s="11"/>
      <c r="B14" s="46">
        <v>11</v>
      </c>
      <c r="C14" s="51" t="str">
        <f>IFERROR(INDEX(date!B2:B57,MATCH(LARGE($P$1:$AC$1,11),date!K2:K57,0)),"")</f>
        <v>チームK-1</v>
      </c>
      <c r="D14" s="46" t="str">
        <f>IFERROR(INDEX(date!C2:C57,MATCH(LARGE($P$1:$AC$1,11),date!K2:K57,0)),"")</f>
        <v>Kパート</v>
      </c>
      <c r="E14" s="46">
        <f>IFERROR(INDEX(date!G2:G57,MATCH(LARGE($P$1:$AC$1,11),date!K2:K57,0)),"")</f>
        <v>0</v>
      </c>
      <c r="F14" s="46">
        <f>IFERROR(INDEX(date!J2:J57,MATCH(LARGE($P$1:$AC$1,11),date!K2:K57,0)),"")</f>
        <v>0</v>
      </c>
      <c r="G14" s="46">
        <f>IFERROR(INDEX(date!H2:H57,MATCH(LARGE($P$1:$AC$1,11),date!K2:K57,0)),"")</f>
        <v>0</v>
      </c>
      <c r="H14" s="48"/>
      <c r="I14" s="46">
        <v>11</v>
      </c>
      <c r="J14" s="51" t="str">
        <f>IFERROR(INDEX(date!B2:B57,MATCH(LARGE($P$2:$AC$2,11),date!K2:K57,0)),"")</f>
        <v>チームK-2</v>
      </c>
      <c r="K14" s="46" t="str">
        <f>IFERROR(INDEX(date!C2:C57,MATCH(LARGE($P$2:$AC$2,11),date!K2:K57,0)),"")</f>
        <v>Kパート</v>
      </c>
      <c r="L14" s="46">
        <f>IFERROR(INDEX(date!G2:G57,MATCH(LARGE($P$2:$AC$2,11),date!K2:K57,0)),"")</f>
        <v>0</v>
      </c>
      <c r="M14" s="46">
        <f>IFERROR(INDEX(date!J2:J57,MATCH(LARGE($P$2:$AC$2,11),date!K2:K57,0)),"")</f>
        <v>0</v>
      </c>
      <c r="N14" s="46">
        <f>IFERROR(INDEX(date!H2:H57,MATCH(LARGE($P$2:$AC$2,11),date!K2:K57,0)),"")</f>
        <v>0</v>
      </c>
    </row>
    <row r="15" spans="1:29" ht="21.75" customHeight="1">
      <c r="A15" s="11"/>
      <c r="B15" s="2">
        <v>12</v>
      </c>
      <c r="C15" s="49" t="str">
        <f>IFERROR(INDEX(date!B2:B57,MATCH(LARGE($P$1:$AC$1,12),date!K2:K57,0)),"")</f>
        <v>チームL-1</v>
      </c>
      <c r="D15" s="2" t="str">
        <f>IFERROR(INDEX(date!C2:C57,MATCH(LARGE($P$1:$AC$1,12),date!K2:K57,0)),"")</f>
        <v>Lパート</v>
      </c>
      <c r="E15" s="2">
        <f>IFERROR(INDEX(date!G2:G57,MATCH(LARGE($P$1:$AC$1,12),date!K2:K57,0)),"")</f>
        <v>0</v>
      </c>
      <c r="F15" s="2">
        <f>IFERROR(INDEX(date!J2:J57,MATCH(LARGE($P$1:$AC$1,12),date!K2:K57,0)),"")</f>
        <v>0</v>
      </c>
      <c r="G15" s="2">
        <f>IFERROR(INDEX(date!H2:H57,MATCH(LARGE($P$1:$AC$1,12),date!K2:K57,0)),"")</f>
        <v>0</v>
      </c>
      <c r="H15" s="50"/>
      <c r="I15" s="2">
        <v>12</v>
      </c>
      <c r="J15" s="49" t="str">
        <f>IFERROR(INDEX(date!B2:B57,MATCH(LARGE($P$2:$AC$2,12),date!K2:K57,0)),"")</f>
        <v>チームL-2</v>
      </c>
      <c r="K15" s="2" t="str">
        <f>IFERROR(INDEX(date!C2:C57,MATCH(LARGE($P$2:$AC$2,12),date!K2:K57,0)),"")</f>
        <v>Lパート</v>
      </c>
      <c r="L15" s="2">
        <f>IFERROR(INDEX(date!G2:G57,MATCH(LARGE($P$2:$AC$2,12),date!K2:K57,0)),"")</f>
        <v>0</v>
      </c>
      <c r="M15" s="2">
        <f>IFERROR(INDEX(date!J2:J57,MATCH(LARGE($P$2:$AC$2,12),date!K2:K57,0)),"")</f>
        <v>0</v>
      </c>
      <c r="N15" s="2">
        <f>IFERROR(INDEX(date!H2:H57,MATCH(LARGE($P$2:$AC$2,12),date!K2:K57,0)),"")</f>
        <v>0</v>
      </c>
    </row>
    <row r="16" spans="1:29" ht="21.75" customHeight="1">
      <c r="A16" s="11"/>
      <c r="B16" s="46">
        <v>13</v>
      </c>
      <c r="C16" s="51" t="str">
        <f>IFERROR(INDEX(date!B2:B57,MATCH(LARGE($P$1:$AC$1,13),date!K2:K57,0)),"")</f>
        <v>チームM-1</v>
      </c>
      <c r="D16" s="46" t="str">
        <f>IFERROR(INDEX(date!C2:C57,MATCH(LARGE($P$1:$AC$1,13),date!K2:K57,0)),"")</f>
        <v>Mパート</v>
      </c>
      <c r="E16" s="46">
        <f>IFERROR(INDEX(date!G2:G57,MATCH(LARGE($P$1:$AC$1,13),date!K2:K57,0)),"")</f>
        <v>0</v>
      </c>
      <c r="F16" s="46">
        <f>IFERROR(INDEX(date!J2:J57,MATCH(LARGE($P$1:$AC$1,13),date!K2:K57,0)),"")</f>
        <v>0</v>
      </c>
      <c r="G16" s="46">
        <f>IFERROR(INDEX(date!H2:H57,MATCH(LARGE($P$1:$AC$1,13),date!K2:K57,0)),"")</f>
        <v>0</v>
      </c>
      <c r="H16" s="48"/>
      <c r="I16" s="46">
        <v>13</v>
      </c>
      <c r="J16" s="51" t="str">
        <f>IFERROR(INDEX(date!B2:B57,MATCH(LARGE($P$2:$AC$2,13),date!K2:K57,0)),"")</f>
        <v>チームM-2</v>
      </c>
      <c r="K16" s="46" t="str">
        <f>IFERROR(INDEX(date!C2:C57,MATCH(LARGE($P$2:$AC$2,13),date!K2:K57,0)),"")</f>
        <v>Mパート</v>
      </c>
      <c r="L16" s="46">
        <f>IFERROR(INDEX(date!G2:G57,MATCH(LARGE($P$2:$AC$2,13),date!K2:K57,0)),"")</f>
        <v>0</v>
      </c>
      <c r="M16" s="46">
        <f>IFERROR(INDEX(date!J2:J57,MATCH(LARGE($P$2:$AC$2,13),date!K2:K57,0)),"")</f>
        <v>0</v>
      </c>
      <c r="N16" s="46">
        <f>IFERROR(INDEX(date!H2:H57,MATCH(LARGE($P$2:$AC$2,13),date!K2:K57,0)),"")</f>
        <v>0</v>
      </c>
    </row>
    <row r="17" spans="1:14" ht="21.75" customHeight="1">
      <c r="A17" s="11"/>
      <c r="B17" s="2">
        <v>14</v>
      </c>
      <c r="C17" s="49" t="str">
        <f>IFERROR(INDEX(date!B2:B57,MATCH(LARGE($P$1:$AC$1,14),date!K2:K57,0)),"")</f>
        <v>チームN-1</v>
      </c>
      <c r="D17" s="2" t="str">
        <f>IFERROR(INDEX(date!C2:C57,MATCH(LARGE($P$1:$AC$1,14),date!K2:K57,0)),"")</f>
        <v>Nパート</v>
      </c>
      <c r="E17" s="2">
        <f>IFERROR(INDEX(date!G2:G57,MATCH(LARGE($P$1:$AC$1,14),date!K2:K57,0)),"")</f>
        <v>0</v>
      </c>
      <c r="F17" s="2">
        <f>IFERROR(INDEX(date!J2:J57,MATCH(LARGE($P$1:$AC$1,14),date!K2:K57,0)),"")</f>
        <v>0</v>
      </c>
      <c r="G17" s="2">
        <f>IFERROR(INDEX(date!H2:H57,MATCH(LARGE($P$1:$AC$1,14),date!K2:K57,0)),"")</f>
        <v>0</v>
      </c>
      <c r="H17" s="50"/>
      <c r="I17" s="2">
        <v>14</v>
      </c>
      <c r="J17" s="49" t="str">
        <f>IFERROR(INDEX(date!B2:B57,MATCH(LARGE($P$2:$AC$2,14),date!K2:K57,0)),"")</f>
        <v>チームN-2</v>
      </c>
      <c r="K17" s="2" t="str">
        <f>IFERROR(INDEX(date!C2:C57,MATCH(LARGE($P$2:$AC$2,14),date!K2:K57,0)),"")</f>
        <v>Nパート</v>
      </c>
      <c r="L17" s="2">
        <f>IFERROR(INDEX(date!G2:G57,MATCH(LARGE($P$2:$AC$2,14),date!K2:K57,0)),"")</f>
        <v>0</v>
      </c>
      <c r="M17" s="2">
        <f>IFERROR(INDEX(date!J2:J57,MATCH(LARGE($P$2:$AC$2,14),date!K2:K57,0)),"")</f>
        <v>0</v>
      </c>
      <c r="N17" s="2">
        <f>IFERROR(INDEX(date!H2:H57,MATCH(LARGE($P$2:$AC$2,14),date!K2:K57,0)),"")</f>
        <v>0</v>
      </c>
    </row>
    <row r="18" spans="1:14" ht="21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21.75" customHeight="1">
      <c r="A19" s="11"/>
      <c r="B19" s="84" t="s">
        <v>101</v>
      </c>
      <c r="C19" s="84"/>
      <c r="D19" s="84"/>
      <c r="E19" s="84"/>
      <c r="F19" s="84"/>
      <c r="G19" s="84"/>
      <c r="H19" s="50"/>
      <c r="I19" s="84" t="s">
        <v>102</v>
      </c>
      <c r="J19" s="84"/>
      <c r="K19" s="84"/>
      <c r="L19" s="84"/>
      <c r="M19" s="84"/>
      <c r="N19" s="84"/>
    </row>
    <row r="20" spans="1:14" ht="21.75" customHeight="1">
      <c r="A20" s="11"/>
      <c r="B20" s="52" t="s">
        <v>69</v>
      </c>
      <c r="C20" s="51" t="s">
        <v>1</v>
      </c>
      <c r="D20" s="52" t="s">
        <v>2</v>
      </c>
      <c r="E20" s="52" t="s">
        <v>6</v>
      </c>
      <c r="F20" s="52" t="s">
        <v>9</v>
      </c>
      <c r="G20" s="52" t="s">
        <v>7</v>
      </c>
      <c r="H20" s="53"/>
      <c r="I20" s="52" t="s">
        <v>69</v>
      </c>
      <c r="J20" s="51" t="s">
        <v>1</v>
      </c>
      <c r="K20" s="52" t="s">
        <v>2</v>
      </c>
      <c r="L20" s="52" t="s">
        <v>6</v>
      </c>
      <c r="M20" s="52" t="s">
        <v>9</v>
      </c>
      <c r="N20" s="52" t="s">
        <v>7</v>
      </c>
    </row>
    <row r="21" spans="1:14" ht="21.75" customHeight="1">
      <c r="A21" s="11"/>
      <c r="B21" s="2">
        <v>1</v>
      </c>
      <c r="C21" s="49" t="str">
        <f>IFERROR(INDEX(date!B2:B57,MATCH(LARGE($P$3:$AC$3,1),date!K2:K57,0)),"")</f>
        <v>チームA-3</v>
      </c>
      <c r="D21" s="2" t="str">
        <f>IFERROR(INDEX(date!C2:C57,MATCH(LARGE($P$3:$AC$3,1),date!K2:K57,0)),"")</f>
        <v>Aパート</v>
      </c>
      <c r="E21" s="2">
        <f>IFERROR(INDEX(date!G2:G57,MATCH(LARGE($P$3:$AC$3,1),date!K2:K57,0)),"")</f>
        <v>0</v>
      </c>
      <c r="F21" s="2">
        <f>IFERROR(INDEX(date!J2:J57,MATCH(LARGE($P$3:$AC$3,1),date!K2:K57,0)),"")</f>
        <v>0</v>
      </c>
      <c r="G21" s="2">
        <f>IFERROR(INDEX(date!H2:H57,MATCH(LARGE($P$3:$AC$3,1),date!K2:K57,0)),"")</f>
        <v>0</v>
      </c>
      <c r="H21" s="50"/>
      <c r="I21" s="2">
        <v>1</v>
      </c>
      <c r="J21" s="49" t="str">
        <f>IFERROR(INDEX(date!B2:B57,MATCH(LARGE($P$4:$AC$4,1),date!K2:K57,0)),"")</f>
        <v>チームA-4</v>
      </c>
      <c r="K21" s="2" t="str">
        <f>IFERROR(INDEX(date!C2:C57,MATCH(LARGE($P$4:$AC$4,1),date!K2:K57,0)),"")</f>
        <v>Aパート</v>
      </c>
      <c r="L21" s="2">
        <f>IFERROR(INDEX(date!G2:G57,MATCH(LARGE($P$4:$AC$4,1),date!K2:K57,0)),"")</f>
        <v>0</v>
      </c>
      <c r="M21" s="2">
        <f>IFERROR(INDEX(date!J2:J57,MATCH(LARGE($P$4:$AC$4,1),date!K2:K57,0)),"")</f>
        <v>0</v>
      </c>
      <c r="N21" s="2">
        <f>IFERROR(INDEX(date!H2:H57,MATCH(LARGE($P$4:$AC$4,1),date!K2:K57,0)),"")</f>
        <v>0</v>
      </c>
    </row>
    <row r="22" spans="1:14" ht="21.75" customHeight="1">
      <c r="A22" s="11"/>
      <c r="B22" s="52">
        <v>2</v>
      </c>
      <c r="C22" s="51" t="str">
        <f>IFERROR(INDEX(date!B2:B57,MATCH(LARGE($P$3:$AC$3,2),date!K2:K57,0)),"")</f>
        <v>チームB-3</v>
      </c>
      <c r="D22" s="52" t="str">
        <f>IFERROR(INDEX(date!C2:C57,MATCH(LARGE($P$3:$AC$3,2),date!K2:K57,0)),"")</f>
        <v>Bパート</v>
      </c>
      <c r="E22" s="52">
        <f>IFERROR(INDEX(date!G2:G57,MATCH(LARGE($P$3:$AC$3,2),date!K2:K57,0)),"")</f>
        <v>0</v>
      </c>
      <c r="F22" s="52">
        <f>IFERROR(INDEX(date!J2:J57,MATCH(LARGE($P$3:$AC$3,2),date!K2:K57,0)),"")</f>
        <v>0</v>
      </c>
      <c r="G22" s="52">
        <f>IFERROR(INDEX(date!H2:H57,MATCH(LARGE($P$3:$AC$3,2),date!K2:K57,0)),"")</f>
        <v>0</v>
      </c>
      <c r="H22" s="53"/>
      <c r="I22" s="52">
        <v>2</v>
      </c>
      <c r="J22" s="51" t="str">
        <f>IFERROR(INDEX(date!B2:B57,MATCH(LARGE($P$4:$AC$4,2),date!K2:K57,0)),"")</f>
        <v>チームB-4</v>
      </c>
      <c r="K22" s="52" t="str">
        <f>IFERROR(INDEX(date!C2:C57,MATCH(LARGE($P$4:$AC$4,2),date!K2:K57,0)),"")</f>
        <v>Bパート</v>
      </c>
      <c r="L22" s="52">
        <f>IFERROR(INDEX(date!G2:G57,MATCH(LARGE($P$4:$AC$4,2),date!K2:K57,0)),"")</f>
        <v>0</v>
      </c>
      <c r="M22" s="52">
        <f>IFERROR(INDEX(date!J2:J57,MATCH(LARGE($P$4:$AC$4,2),date!K2:K57,0)),"")</f>
        <v>0</v>
      </c>
      <c r="N22" s="52">
        <f>IFERROR(INDEX(date!H2:H57,MATCH(LARGE($P$4:$AC$4,2),date!K2:K57,0)),"")</f>
        <v>0</v>
      </c>
    </row>
    <row r="23" spans="1:14" ht="21.75" customHeight="1">
      <c r="A23" s="11"/>
      <c r="B23" s="2">
        <v>3</v>
      </c>
      <c r="C23" s="49" t="str">
        <f>IFERROR(INDEX(date!B2:B57,MATCH(LARGE($P$3:$AC$3,3),date!K2:K57,0)),"")</f>
        <v>チームC-3</v>
      </c>
      <c r="D23" s="2" t="str">
        <f>IFERROR(INDEX(date!C2:C57,MATCH(LARGE($P$3:$AC$3,3),date!K2:K57,0)),"")</f>
        <v>Cパート</v>
      </c>
      <c r="E23" s="2">
        <f>IFERROR(INDEX(date!G2:G57,MATCH(LARGE($P$3:$AC$3,3),date!K2:K57,0)),"")</f>
        <v>0</v>
      </c>
      <c r="F23" s="2">
        <f>IFERROR(INDEX(date!J2:J57,MATCH(LARGE($P$3:$AC$3,3),date!K2:K57,0)),"")</f>
        <v>0</v>
      </c>
      <c r="G23" s="2">
        <f>IFERROR(INDEX(date!H2:H57,MATCH(LARGE($P$3:$AC$3,3),date!K2:K57,0)),"")</f>
        <v>0</v>
      </c>
      <c r="H23" s="50"/>
      <c r="I23" s="2">
        <v>3</v>
      </c>
      <c r="J23" s="49" t="str">
        <f>IFERROR(INDEX(date!B2:B57,MATCH(LARGE($P$4:$AC$4,3),date!K2:K57,0)),"")</f>
        <v>チームC-4</v>
      </c>
      <c r="K23" s="2" t="str">
        <f>IFERROR(INDEX(date!C2:C57,MATCH(LARGE($P$4:$AC$4,3),date!K2:K57,0)),"")</f>
        <v>Cパート</v>
      </c>
      <c r="L23" s="2">
        <f>IFERROR(INDEX(date!G2:G57,MATCH(LARGE($P$4:$AC$4,3),date!K2:K57,0)),"")</f>
        <v>0</v>
      </c>
      <c r="M23" s="2">
        <f>IFERROR(INDEX(date!J2:J57,MATCH(LARGE($P$4:$AC$4,3),date!K2:K57,0)),"")</f>
        <v>0</v>
      </c>
      <c r="N23" s="2">
        <f>IFERROR(INDEX(date!H2:H57,MATCH(LARGE($P$4:$AC$4,3),date!K2:K57,0)),"")</f>
        <v>0</v>
      </c>
    </row>
    <row r="24" spans="1:14" ht="21.75" customHeight="1">
      <c r="A24" s="11"/>
      <c r="B24" s="52">
        <v>4</v>
      </c>
      <c r="C24" s="51" t="str">
        <f>IFERROR(INDEX(date!B2:B57,MATCH(LARGE($P$3:$AC$3,4),date!K2:K57,0)),"")</f>
        <v>チームD-3</v>
      </c>
      <c r="D24" s="52" t="str">
        <f>IFERROR(INDEX(date!C2:C57,MATCH(LARGE($P$3:$AC$3,4),date!K2:K57,0)),"")</f>
        <v>Dパート</v>
      </c>
      <c r="E24" s="52">
        <f>IFERROR(INDEX(date!G2:G57,MATCH(LARGE($P$3:$AC$3,4),date!K2:K57,0)),"")</f>
        <v>0</v>
      </c>
      <c r="F24" s="52">
        <f>IFERROR(INDEX(date!J2:J57,MATCH(LARGE($P$3:$AC$3,4),date!K2:K57,0)),"")</f>
        <v>0</v>
      </c>
      <c r="G24" s="52">
        <f>IFERROR(INDEX(date!H2:H57,MATCH(LARGE($P$3:$AC$3,4),date!K2:K57,0)),"")</f>
        <v>0</v>
      </c>
      <c r="H24" s="53"/>
      <c r="I24" s="52">
        <v>4</v>
      </c>
      <c r="J24" s="51" t="str">
        <f>IFERROR(INDEX(date!B2:B57,MATCH(LARGE($P$4:$AC$4,4),date!K2:K57,0)),"")</f>
        <v>チームD-4</v>
      </c>
      <c r="K24" s="52" t="str">
        <f>IFERROR(INDEX(date!C2:C57,MATCH(LARGE($P$4:$AC$4,4),date!K2:K57,0)),"")</f>
        <v>Dパート</v>
      </c>
      <c r="L24" s="52">
        <f>IFERROR(INDEX(date!G2:G57,MATCH(LARGE($P$4:$AC$4,4),date!K2:K57,0)),"")</f>
        <v>0</v>
      </c>
      <c r="M24" s="52">
        <f>IFERROR(INDEX(date!J2:J57,MATCH(LARGE($P$4:$AC$4,4),date!K2:K57,0)),"")</f>
        <v>0</v>
      </c>
      <c r="N24" s="52">
        <f>IFERROR(INDEX(date!H2:H57,MATCH(LARGE($P$4:$AC$4,4),date!K2:K57,0)),"")</f>
        <v>0</v>
      </c>
    </row>
    <row r="25" spans="1:14" ht="21.75" customHeight="1">
      <c r="A25" s="11"/>
      <c r="B25" s="2">
        <v>5</v>
      </c>
      <c r="C25" s="49" t="str">
        <f>IFERROR(INDEX(date!B2:B57,MATCH(LARGE($P$3:$AC$3,5),date!K2:K57,0)),"")</f>
        <v>チームE-3</v>
      </c>
      <c r="D25" s="2" t="str">
        <f>IFERROR(INDEX(date!C2:C57,MATCH(LARGE($P$3:$AC$3,5),date!K2:K57,0)),"")</f>
        <v>Eパート</v>
      </c>
      <c r="E25" s="2">
        <f>IFERROR(INDEX(date!G2:G57,MATCH(LARGE($P$3:$AC$3,5),date!K2:K57,0)),"")</f>
        <v>0</v>
      </c>
      <c r="F25" s="2">
        <f>IFERROR(INDEX(date!J2:J57,MATCH(LARGE($P$3:$AC$3,5),date!K2:K57,0)),"")</f>
        <v>0</v>
      </c>
      <c r="G25" s="2">
        <f>IFERROR(INDEX(date!H2:H57,MATCH(LARGE($P$3:$AC$3,5),date!K2:K57,0)),"")</f>
        <v>0</v>
      </c>
      <c r="H25" s="50"/>
      <c r="I25" s="2">
        <v>5</v>
      </c>
      <c r="J25" s="49" t="str">
        <f>IFERROR(INDEX(date!B2:B57,MATCH(LARGE($P$4:$AC$4,5),date!K2:K57,0)),"")</f>
        <v>チームE-4</v>
      </c>
      <c r="K25" s="2" t="str">
        <f>IFERROR(INDEX(date!C2:C57,MATCH(LARGE($P$4:$AC$4,5),date!K2:K57,0)),"")</f>
        <v>Eパート</v>
      </c>
      <c r="L25" s="2">
        <f>IFERROR(INDEX(date!G2:G57,MATCH(LARGE($P$4:$AC$4,5),date!K2:K57,0)),"")</f>
        <v>0</v>
      </c>
      <c r="M25" s="2">
        <f>IFERROR(INDEX(date!J2:J57,MATCH(LARGE($P$4:$AC$4,5),date!K2:K57,0)),"")</f>
        <v>0</v>
      </c>
      <c r="N25" s="2">
        <f>IFERROR(INDEX(date!H2:H57,MATCH(LARGE($P$4:$AC$4,5),date!K2:K57,0)),"")</f>
        <v>0</v>
      </c>
    </row>
    <row r="26" spans="1:14" ht="21.75" customHeight="1">
      <c r="A26" s="11"/>
      <c r="B26" s="52">
        <v>6</v>
      </c>
      <c r="C26" s="51" t="str">
        <f>IFERROR(INDEX(date!B2:B57,MATCH(LARGE($P$3:$AC$3,6),date!K2:K57,0)),"")</f>
        <v>チームF-3</v>
      </c>
      <c r="D26" s="52" t="str">
        <f>IFERROR(INDEX(date!C2:C57,MATCH(LARGE($P$3:$AC$3,6),date!K2:K57,0)),"")</f>
        <v>Fパート</v>
      </c>
      <c r="E26" s="52">
        <f>IFERROR(INDEX(date!G2:G57,MATCH(LARGE($P$3:$AC$3,6),date!K2:K57,0)),"")</f>
        <v>0</v>
      </c>
      <c r="F26" s="52">
        <f>IFERROR(INDEX(date!J2:J57,MATCH(LARGE($P$3:$AC$3,6),date!K2:K57,0)),"")</f>
        <v>0</v>
      </c>
      <c r="G26" s="52">
        <f>IFERROR(INDEX(date!H2:H57,MATCH(LARGE($P$3:$AC$3,6),date!K2:K57,0)),"")</f>
        <v>0</v>
      </c>
      <c r="H26" s="53"/>
      <c r="I26" s="52">
        <v>6</v>
      </c>
      <c r="J26" s="51" t="str">
        <f>IFERROR(INDEX(date!B2:B57,MATCH(LARGE($P$4:$AC$4,6),date!K2:K57,0)),"")</f>
        <v>チームF-4</v>
      </c>
      <c r="K26" s="52" t="str">
        <f>IFERROR(INDEX(date!C2:C57,MATCH(LARGE($P$4:$AC$4,6),date!K2:K57,0)),"")</f>
        <v>Fパート</v>
      </c>
      <c r="L26" s="52">
        <f>IFERROR(INDEX(date!G2:G57,MATCH(LARGE($P$4:$AC$4,6),date!K2:K57,0)),"")</f>
        <v>0</v>
      </c>
      <c r="M26" s="52">
        <f>IFERROR(INDEX(date!J2:J57,MATCH(LARGE($P$4:$AC$4,6),date!K2:K57,0)),"")</f>
        <v>0</v>
      </c>
      <c r="N26" s="52">
        <f>IFERROR(INDEX(date!H2:H57,MATCH(LARGE($P$4:$AC$4,6),date!K2:K57,0)),"")</f>
        <v>0</v>
      </c>
    </row>
    <row r="27" spans="1:14" ht="21.75" customHeight="1">
      <c r="A27" s="11"/>
      <c r="B27" s="2">
        <v>7</v>
      </c>
      <c r="C27" s="49" t="str">
        <f>IFERROR(INDEX(date!B2:B57,MATCH(LARGE($P$3:$AC$3,7),date!K2:K57,0)),"")</f>
        <v>チームG-3</v>
      </c>
      <c r="D27" s="2" t="str">
        <f>IFERROR(INDEX(date!C2:C57,MATCH(LARGE($P$3:$AC$3,7),date!K2:K57,0)),"")</f>
        <v>Gパート</v>
      </c>
      <c r="E27" s="2">
        <f>IFERROR(INDEX(date!G2:G57,MATCH(LARGE($P$3:$AC$3,7),date!K2:K57,0)),"")</f>
        <v>0</v>
      </c>
      <c r="F27" s="2">
        <f>IFERROR(INDEX(date!J2:J57,MATCH(LARGE($P$3:$AC$3,7),date!K2:K57,0)),"")</f>
        <v>0</v>
      </c>
      <c r="G27" s="2">
        <f>IFERROR(INDEX(date!H2:H57,MATCH(LARGE($P$3:$AC$3,7),date!K2:K57,0)),"")</f>
        <v>0</v>
      </c>
      <c r="H27" s="50"/>
      <c r="I27" s="2">
        <v>7</v>
      </c>
      <c r="J27" s="49" t="str">
        <f>IFERROR(INDEX(date!B2:B57,MATCH(LARGE($P$4:$AC$4,7),date!K2:K57,0)),"")</f>
        <v>チームG-4</v>
      </c>
      <c r="K27" s="2" t="str">
        <f>IFERROR(INDEX(date!C2:C57,MATCH(LARGE($P$4:$AC$4,7),date!K2:K57,0)),"")</f>
        <v>Gパート</v>
      </c>
      <c r="L27" s="2">
        <f>IFERROR(INDEX(date!G2:G57,MATCH(LARGE($P$4:$AC$4,7),date!K2:K57,0)),"")</f>
        <v>0</v>
      </c>
      <c r="M27" s="2">
        <f>IFERROR(INDEX(date!J2:J57,MATCH(LARGE($P$4:$AC$4,7),date!K2:K57,0)),"")</f>
        <v>0</v>
      </c>
      <c r="N27" s="2">
        <f>IFERROR(INDEX(date!H2:H57,MATCH(LARGE($P$4:$AC$4,7),date!K2:K57,0)),"")</f>
        <v>0</v>
      </c>
    </row>
    <row r="28" spans="1:14" ht="21.75" customHeight="1">
      <c r="A28" s="11"/>
      <c r="B28" s="52">
        <v>8</v>
      </c>
      <c r="C28" s="51" t="str">
        <f>IFERROR(INDEX(date!B2:B57,MATCH(LARGE($P$3:$AC$3,8),date!K2:K57,0)),"")</f>
        <v>チームH-3</v>
      </c>
      <c r="D28" s="52" t="str">
        <f>IFERROR(INDEX(date!C2:C57,MATCH(LARGE($P$3:$AC$3,8),date!K2:K57,0)),"")</f>
        <v>Hパート</v>
      </c>
      <c r="E28" s="52">
        <f>IFERROR(INDEX(date!G2:G57,MATCH(LARGE($P$3:$AC$3,8),date!K2:K57,0)),"")</f>
        <v>0</v>
      </c>
      <c r="F28" s="52">
        <f>IFERROR(INDEX(date!J2:J57,MATCH(LARGE($P$3:$AC$3,8),date!K2:K57,0)),"")</f>
        <v>0</v>
      </c>
      <c r="G28" s="52">
        <f>IFERROR(INDEX(date!H2:H57,MATCH(LARGE($P$3:$AC$3,8),date!K2:K57,0)),"")</f>
        <v>0</v>
      </c>
      <c r="H28" s="53"/>
      <c r="I28" s="52">
        <v>8</v>
      </c>
      <c r="J28" s="51" t="str">
        <f>IFERROR(INDEX(date!B2:B57,MATCH(LARGE($P$4:$AC$4,8),date!K2:K57,0)),"")</f>
        <v>チームH-4</v>
      </c>
      <c r="K28" s="52" t="str">
        <f>IFERROR(INDEX(date!C2:C57,MATCH(LARGE($P$4:$AC$4,8),date!K2:K57,0)),"")</f>
        <v>Hパート</v>
      </c>
      <c r="L28" s="52">
        <f>IFERROR(INDEX(date!G2:G57,MATCH(LARGE($P$4:$AC$4,8),date!K2:K57,0)),"")</f>
        <v>0</v>
      </c>
      <c r="M28" s="52">
        <f>IFERROR(INDEX(date!J2:J57,MATCH(LARGE($P$4:$AC$4,8),date!K2:K57,0)),"")</f>
        <v>0</v>
      </c>
      <c r="N28" s="52">
        <f>IFERROR(INDEX(date!H2:H57,MATCH(LARGE($P$4:$AC$4,8),date!K2:K57,0)),"")</f>
        <v>0</v>
      </c>
    </row>
    <row r="29" spans="1:14" ht="21.75" customHeight="1">
      <c r="A29" s="11"/>
      <c r="B29" s="2">
        <v>9</v>
      </c>
      <c r="C29" s="49" t="str">
        <f>IFERROR(INDEX(date!B2:B57,MATCH(LARGE($P$3:$AC$3,9),date!K2:K57,0)),"")</f>
        <v>チームI-3</v>
      </c>
      <c r="D29" s="2" t="str">
        <f>IFERROR(INDEX(date!C2:C57,MATCH(LARGE($P$3:$AC$3,9),date!K2:K57,0)),"")</f>
        <v>Iパート</v>
      </c>
      <c r="E29" s="2">
        <f>IFERROR(INDEX(date!G2:G57,MATCH(LARGE($P$3:$AC$3,9),date!K2:K57,0)),"")</f>
        <v>0</v>
      </c>
      <c r="F29" s="2">
        <f>IFERROR(INDEX(date!J2:J57,MATCH(LARGE($P$3:$AC$3,9),date!K2:K57,0)),"")</f>
        <v>0</v>
      </c>
      <c r="G29" s="2">
        <f>IFERROR(INDEX(date!H2:H57,MATCH(LARGE($P$3:$AC$3,9),date!K2:K57,0)),"")</f>
        <v>0</v>
      </c>
      <c r="H29" s="50"/>
      <c r="I29" s="2">
        <v>9</v>
      </c>
      <c r="J29" s="49" t="str">
        <f>IFERROR(INDEX(date!B2:B57,MATCH(LARGE($P$4:$AC$4,9),date!K2:K57,0)),"")</f>
        <v>チームI-4</v>
      </c>
      <c r="K29" s="2" t="str">
        <f>IFERROR(INDEX(date!C2:C57,MATCH(LARGE($P$4:$AC$4,9),date!K2:K57,0)),"")</f>
        <v>Iパート</v>
      </c>
      <c r="L29" s="2">
        <f>IFERROR(INDEX(date!G2:G57,MATCH(LARGE($P$4:$AC$4,9),date!K2:K57,0)),"")</f>
        <v>0</v>
      </c>
      <c r="M29" s="2">
        <f>IFERROR(INDEX(date!J2:J57,MATCH(LARGE($P$4:$AC$4,9),date!K2:K57,0)),"")</f>
        <v>0</v>
      </c>
      <c r="N29" s="2">
        <f>IFERROR(INDEX(date!H2:H57,MATCH(LARGE($P$4:$AC$4,9),date!K2:K57,0)),"")</f>
        <v>0</v>
      </c>
    </row>
    <row r="30" spans="1:14" ht="21.75" customHeight="1">
      <c r="A30" s="11"/>
      <c r="B30" s="52">
        <v>10</v>
      </c>
      <c r="C30" s="51" t="str">
        <f>IFERROR(INDEX(date!B2:B57,MATCH(LARGE($P$3:$AC$3,10),date!K2:K57,0)),"")</f>
        <v>チームJ-3</v>
      </c>
      <c r="D30" s="52" t="str">
        <f>IFERROR(INDEX(date!C2:C57,MATCH(LARGE($P$3:$AC$3,10),date!K2:K57,0)),"")</f>
        <v>Jパート</v>
      </c>
      <c r="E30" s="52">
        <f>IFERROR(INDEX(date!G2:G57,MATCH(LARGE($P$3:$AC$3,10),date!K2:K57,0)),"")</f>
        <v>0</v>
      </c>
      <c r="F30" s="52">
        <f>IFERROR(INDEX(date!J2:J57,MATCH(LARGE($P$3:$AC$3,10),date!K2:K57,0)),"")</f>
        <v>0</v>
      </c>
      <c r="G30" s="52">
        <f>IFERROR(INDEX(date!H2:H57,MATCH(LARGE($P$3:$AC$3,10),date!K2:K57,0)),"")</f>
        <v>0</v>
      </c>
      <c r="H30" s="53"/>
      <c r="I30" s="52">
        <v>10</v>
      </c>
      <c r="J30" s="51" t="str">
        <f>IFERROR(INDEX(date!B2:B57,MATCH(LARGE($P$4:$AC$4,10),date!K2:K57,0)),"")</f>
        <v>チームJ-4</v>
      </c>
      <c r="K30" s="52" t="str">
        <f>IFERROR(INDEX(date!C2:C57,MATCH(LARGE($P$4:$AC$4,10),date!K2:K57,0)),"")</f>
        <v>Jパート</v>
      </c>
      <c r="L30" s="52">
        <f>IFERROR(INDEX(date!G2:G57,MATCH(LARGE($P$4:$AC$4,10),date!K2:K57,0)),"")</f>
        <v>0</v>
      </c>
      <c r="M30" s="52">
        <f>IFERROR(INDEX(date!J2:J57,MATCH(LARGE($P$4:$AC$4,10),date!K2:K57,0)),"")</f>
        <v>0</v>
      </c>
      <c r="N30" s="52">
        <f>IFERROR(INDEX(date!H2:H57,MATCH(LARGE($P$4:$AC$4,10),date!K2:K57,0)),"")</f>
        <v>0</v>
      </c>
    </row>
    <row r="31" spans="1:14" ht="21.75" customHeight="1">
      <c r="A31" s="11"/>
      <c r="B31" s="2">
        <v>11</v>
      </c>
      <c r="C31" s="49" t="str">
        <f>IFERROR(INDEX(date!B2:B57,MATCH(LARGE($P$3:$AC$3,11),date!K2:K57,0)),"")</f>
        <v>チームK-3</v>
      </c>
      <c r="D31" s="2" t="str">
        <f>IFERROR(INDEX(date!C2:C57,MATCH(LARGE($P$3:$AC$3,11),date!K2:K57,0)),"")</f>
        <v>Kパート</v>
      </c>
      <c r="E31" s="2">
        <f>IFERROR(INDEX(date!G2:G57,MATCH(LARGE($P$3:$AC$3,11),date!K2:K57,0)),"")</f>
        <v>0</v>
      </c>
      <c r="F31" s="2">
        <f>IFERROR(INDEX(date!J2:J57,MATCH(LARGE($P$3:$AC$3,11),date!K2:K57,0)),"")</f>
        <v>0</v>
      </c>
      <c r="G31" s="2">
        <f>IFERROR(INDEX(date!H2:H57,MATCH(LARGE($P$3:$AC$3,11),date!K2:K57,0)),"")</f>
        <v>0</v>
      </c>
      <c r="H31" s="50"/>
      <c r="I31" s="2">
        <v>11</v>
      </c>
      <c r="J31" s="49" t="str">
        <f>IFERROR(INDEX(date!B2:B57,MATCH(LARGE($P$4:$AC$4,11),date!K2:K57,0)),"")</f>
        <v>チームK-4</v>
      </c>
      <c r="K31" s="2" t="str">
        <f>IFERROR(INDEX(date!C2:C57,MATCH(LARGE($P$4:$AC$4,11),date!K2:K57,0)),"")</f>
        <v>Kパート</v>
      </c>
      <c r="L31" s="2">
        <f>IFERROR(INDEX(date!G2:G57,MATCH(LARGE($P$4:$AC$4,11),date!K2:K57,0)),"")</f>
        <v>0</v>
      </c>
      <c r="M31" s="2">
        <f>IFERROR(INDEX(date!J2:J57,MATCH(LARGE($P$4:$AC$4,11),date!K2:K57,0)),"")</f>
        <v>0</v>
      </c>
      <c r="N31" s="2">
        <f>IFERROR(INDEX(date!H2:H57,MATCH(LARGE($P$4:$AC$4,11),date!K2:K57,0)),"")</f>
        <v>0</v>
      </c>
    </row>
    <row r="32" spans="1:14" ht="21.75" customHeight="1">
      <c r="A32" s="11"/>
      <c r="B32" s="52">
        <v>12</v>
      </c>
      <c r="C32" s="51" t="str">
        <f>IFERROR(INDEX(date!B2:B57,MATCH(LARGE($P$3:$AC$3,12),date!K2:K57,0)),"")</f>
        <v>チームL-3</v>
      </c>
      <c r="D32" s="52" t="str">
        <f>IFERROR(INDEX(date!C2:C57,MATCH(LARGE($P$3:$AC$3,12),date!K2:K57,0)),"")</f>
        <v>Lパート</v>
      </c>
      <c r="E32" s="52">
        <f>IFERROR(INDEX(date!G2:G57,MATCH(LARGE($P$3:$AC$3,12),date!K2:K57,0)),"")</f>
        <v>0</v>
      </c>
      <c r="F32" s="52">
        <f>IFERROR(INDEX(date!J2:J57,MATCH(LARGE($P$3:$AC$3,12),date!K2:K57,0)),"")</f>
        <v>0</v>
      </c>
      <c r="G32" s="52">
        <f>IFERROR(INDEX(date!H2:H57,MATCH(LARGE($P$3:$AC$3,12),date!K2:K57,0)),"")</f>
        <v>0</v>
      </c>
      <c r="H32" s="53"/>
      <c r="I32" s="52">
        <v>12</v>
      </c>
      <c r="J32" s="51" t="str">
        <f>IFERROR(INDEX(date!B2:B57,MATCH(LARGE($P$4:$AC$4,12),date!K2:K57,0)),"")</f>
        <v>チームL-4</v>
      </c>
      <c r="K32" s="52" t="str">
        <f>IFERROR(INDEX(date!C2:C57,MATCH(LARGE($P$4:$AC$4,12),date!K2:K57,0)),"")</f>
        <v>Lパート</v>
      </c>
      <c r="L32" s="52">
        <f>IFERROR(INDEX(date!G2:G57,MATCH(LARGE($P$4:$AC$4,12),date!K2:K57,0)),"")</f>
        <v>0</v>
      </c>
      <c r="M32" s="52">
        <f>IFERROR(INDEX(date!J2:J57,MATCH(LARGE($P$4:$AC$4,12),date!K2:K57,0)),"")</f>
        <v>0</v>
      </c>
      <c r="N32" s="52">
        <f>IFERROR(INDEX(date!H2:H57,MATCH(LARGE($P$4:$AC$4,12),date!K2:K57,0)),"")</f>
        <v>0</v>
      </c>
    </row>
    <row r="33" spans="1:14" ht="21.75" customHeight="1">
      <c r="A33" s="11"/>
      <c r="B33" s="2">
        <v>13</v>
      </c>
      <c r="C33" s="49" t="str">
        <f>IFERROR(INDEX(date!B2:B57,MATCH(LARGE($P$3:$AC$3,13),date!K2:K57,0)),"")</f>
        <v>チームM-3</v>
      </c>
      <c r="D33" s="2" t="str">
        <f>IFERROR(INDEX(date!C2:C57,MATCH(LARGE($P$3:$AC$3,13),date!K2:K57,0)),"")</f>
        <v>Mパート</v>
      </c>
      <c r="E33" s="2">
        <f>IFERROR(INDEX(date!G2:G57,MATCH(LARGE($P$3:$AC$3,13),date!K2:K57,0)),"")</f>
        <v>0</v>
      </c>
      <c r="F33" s="2">
        <f>IFERROR(INDEX(date!J2:J57,MATCH(LARGE($P$3:$AC$3,13),date!K2:K57,0)),"")</f>
        <v>0</v>
      </c>
      <c r="G33" s="2">
        <f>IFERROR(INDEX(date!H2:H57,MATCH(LARGE($P$3:$AC$3,13),date!K2:K57,0)),"")</f>
        <v>0</v>
      </c>
      <c r="H33" s="50"/>
      <c r="I33" s="2">
        <v>13</v>
      </c>
      <c r="J33" s="49" t="str">
        <f>IFERROR(INDEX(date!B2:B57,MATCH(LARGE($P$4:$AC$4,13),date!K2:K57,0)),"")</f>
        <v>チームM-4</v>
      </c>
      <c r="K33" s="2" t="str">
        <f>IFERROR(INDEX(date!C2:C57,MATCH(LARGE($P$4:$AC$4,13),date!K2:K57,0)),"")</f>
        <v>Mパート</v>
      </c>
      <c r="L33" s="2">
        <f>IFERROR(INDEX(date!G2:G57,MATCH(LARGE($P$4:$AC$4,13),date!K2:K57,0)),"")</f>
        <v>0</v>
      </c>
      <c r="M33" s="2">
        <f>IFERROR(INDEX(date!J2:J57,MATCH(LARGE($P$4:$AC$4,13),date!K2:K57,0)),"")</f>
        <v>0</v>
      </c>
      <c r="N33" s="2">
        <f>IFERROR(INDEX(date!H2:H57,MATCH(LARGE($P$4:$AC$4,13),date!K2:K57,0)),"")</f>
        <v>0</v>
      </c>
    </row>
    <row r="34" spans="1:14" ht="21.75" customHeight="1">
      <c r="A34" s="11"/>
      <c r="B34" s="52">
        <v>14</v>
      </c>
      <c r="C34" s="51" t="str">
        <f>IFERROR(INDEX(date!B2:B57,MATCH(LARGE($P$3:$AC$3,14),date!K2:K57,0)),"")</f>
        <v>チームN-3</v>
      </c>
      <c r="D34" s="52" t="str">
        <f>IFERROR(INDEX(date!C2:C57,MATCH(LARGE($P$3:$AC$3,14),date!K2:K57,0)),"")</f>
        <v>Nパート</v>
      </c>
      <c r="E34" s="52">
        <f>IFERROR(INDEX(date!G2:G57,MATCH(LARGE($P$3:$AC$3,14),date!K2:K57,0)),"")</f>
        <v>0</v>
      </c>
      <c r="F34" s="52">
        <f>IFERROR(INDEX(date!J2:J57,MATCH(LARGE($P$3:$AC$3,14),date!K2:K57,0)),"")</f>
        <v>0</v>
      </c>
      <c r="G34" s="52">
        <f>IFERROR(INDEX(date!H2:H57,MATCH(LARGE($P$3:$AC$3,14),date!K2:K57,0)),"")</f>
        <v>0</v>
      </c>
      <c r="H34" s="53"/>
      <c r="I34" s="52">
        <v>14</v>
      </c>
      <c r="J34" s="51" t="str">
        <f>IFERROR(INDEX(date!B2:B57,MATCH(LARGE($P$4:$AC$4,14),date!K2:K57,0)),"")</f>
        <v>チームN-4</v>
      </c>
      <c r="K34" s="52" t="str">
        <f>IFERROR(INDEX(date!C2:C57,MATCH(LARGE($P$4:$AC$4,14),date!K2:K57,0)),"")</f>
        <v>Nパート</v>
      </c>
      <c r="L34" s="52">
        <f>IFERROR(INDEX(date!G2:G57,MATCH(LARGE($P$4:$AC$4,14),date!K2:K57,0)),"")</f>
        <v>0</v>
      </c>
      <c r="M34" s="52">
        <f>IFERROR(INDEX(date!J2:J57,MATCH(LARGE($P$4:$AC$4,14),date!K2:K57,0)),"")</f>
        <v>0</v>
      </c>
      <c r="N34" s="52">
        <f>IFERROR(INDEX(date!H2:H57,MATCH(LARGE($P$4:$AC$4,14),date!K2:K57,0)),"")</f>
        <v>0</v>
      </c>
    </row>
    <row r="35" spans="1:14" ht="22.5" customHeight="1"/>
  </sheetData>
  <sheetProtection sheet="1" objects="1" scenarios="1"/>
  <mergeCells count="5">
    <mergeCell ref="C1:N1"/>
    <mergeCell ref="B2:G2"/>
    <mergeCell ref="I2:N2"/>
    <mergeCell ref="B19:G19"/>
    <mergeCell ref="I19:N19"/>
  </mergeCells>
  <phoneticPr fontId="31"/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date</vt:lpstr>
      <vt:lpstr>星取表</vt:lpstr>
      <vt:lpstr>総合順位</vt:lpstr>
      <vt:lpstr>パートごとの順位_縦</vt:lpstr>
      <vt:lpstr>パートごとの順位</vt:lpstr>
      <vt:lpstr>パートごとの順位_縦!Print_Area</vt:lpstr>
      <vt:lpstr>総合順位!Print_Area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智章 八谷</dc:creator>
  <dc:description/>
  <cp:lastModifiedBy>房信 酒匂</cp:lastModifiedBy>
  <cp:revision>0</cp:revision>
  <cp:lastPrinted>2026-03-12T07:43:59Z</cp:lastPrinted>
  <dcterms:created xsi:type="dcterms:W3CDTF">2026-02-23T14:00:27Z</dcterms:created>
  <dcterms:modified xsi:type="dcterms:W3CDTF">2026-03-13T13:58:10Z</dcterms:modified>
  <dc:language>en-US</dc:language>
</cp:coreProperties>
</file>